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56C097E4-53DF-4980-A730-9CE9140C2CFC}" xr6:coauthVersionLast="45" xr6:coauthVersionMax="46" xr10:uidLastSave="{00000000-0000-0000-0000-000000000000}"/>
  <bookViews>
    <workbookView xWindow="-120" yWindow="-120" windowWidth="29040" windowHeight="15840" firstSheet="8" activeTab="14" xr2:uid="{FE2271E2-5C9B-48EE-8367-74E79699AFCB}"/>
    <workbookView xWindow="-120" yWindow="-120" windowWidth="29040" windowHeight="15840" firstSheet="4" activeTab="6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2" i="52" l="1"/>
  <c r="T11" i="52"/>
  <c r="T38" i="52"/>
  <c r="T37" i="52"/>
  <c r="T38" i="51"/>
  <c r="T37" i="51"/>
  <c r="T12" i="51"/>
  <c r="T11" i="51"/>
  <c r="T38" i="28"/>
  <c r="T37" i="28"/>
  <c r="C49" i="22" l="1"/>
  <c r="C45" i="22"/>
  <c r="R38" i="52"/>
  <c r="R37" i="52"/>
  <c r="R12" i="52"/>
  <c r="S12" i="52" s="1"/>
  <c r="R11" i="52"/>
  <c r="S11" i="52" s="1"/>
  <c r="R38" i="51"/>
  <c r="R37" i="51"/>
  <c r="R12" i="51"/>
  <c r="R11" i="51"/>
  <c r="R38" i="28"/>
  <c r="R37" i="28"/>
  <c r="R11" i="28"/>
  <c r="R12" i="28"/>
  <c r="Z29" i="22"/>
  <c r="P39" i="52"/>
  <c r="P39" i="51"/>
  <c r="P39" i="28"/>
  <c r="R32" i="52" l="1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I24" i="22" l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F24" i="22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N24" i="22"/>
  <c r="AN16" i="22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S18" i="22"/>
  <c r="AS21" i="22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AK24" i="22"/>
  <c r="AH24" i="22"/>
  <c r="L8" i="24" l="1"/>
  <c r="AQ8" i="24" s="1"/>
  <c r="L72" i="24"/>
  <c r="AQ72" i="24" s="1"/>
  <c r="AE3" i="46" l="1"/>
  <c r="AG3" i="46"/>
  <c r="AE4" i="46"/>
  <c r="AF4" i="46"/>
  <c r="AG4" i="46"/>
  <c r="AE5" i="46"/>
  <c r="AF5" i="46"/>
  <c r="AG5" i="46"/>
  <c r="AE6" i="46"/>
  <c r="AF6" i="46"/>
  <c r="AG6" i="46"/>
  <c r="AE11" i="46"/>
  <c r="AF11" i="46"/>
  <c r="AG11" i="46"/>
  <c r="AE12" i="46"/>
  <c r="AG12" i="46"/>
  <c r="AE13" i="46"/>
  <c r="AG13" i="46"/>
  <c r="AE14" i="46"/>
  <c r="AG14" i="46"/>
  <c r="AE15" i="46"/>
  <c r="AG15" i="46"/>
  <c r="AE16" i="46"/>
  <c r="AG16" i="46"/>
  <c r="AE17" i="46"/>
  <c r="AG17" i="46"/>
  <c r="AE18" i="46"/>
  <c r="AE19" i="46"/>
  <c r="AG19" i="46"/>
  <c r="AE20" i="46"/>
  <c r="AG20" i="46"/>
  <c r="AE21" i="46"/>
  <c r="AG21" i="46"/>
  <c r="AE22" i="46"/>
  <c r="AG22" i="46"/>
  <c r="AE23" i="46"/>
  <c r="AG23" i="46"/>
  <c r="AE24" i="46"/>
  <c r="AG24" i="46"/>
  <c r="AE25" i="46"/>
  <c r="AG25" i="46"/>
  <c r="AE26" i="46"/>
  <c r="AG26" i="46"/>
  <c r="AE27" i="46"/>
  <c r="AG27" i="46"/>
  <c r="AE28" i="46"/>
  <c r="AG28" i="46"/>
  <c r="AE29" i="46"/>
  <c r="AG29" i="46"/>
  <c r="AE30" i="46"/>
  <c r="AG30" i="46"/>
  <c r="AE31" i="46"/>
  <c r="AG31" i="46"/>
  <c r="AE32" i="46"/>
  <c r="AE33" i="46"/>
  <c r="AE34" i="46"/>
  <c r="AE35" i="46"/>
  <c r="AE36" i="46"/>
  <c r="AE37" i="46"/>
  <c r="AG37" i="46"/>
  <c r="AE38" i="46"/>
  <c r="AG38" i="46"/>
  <c r="AB11" i="22" l="1"/>
  <c r="AB17" i="22" l="1"/>
  <c r="AL24" i="22" l="1"/>
  <c r="AG24" i="22" l="1"/>
  <c r="AB10" i="22"/>
  <c r="AB27" i="22"/>
  <c r="AB26" i="22"/>
  <c r="AB22" i="22"/>
  <c r="AB19" i="22"/>
  <c r="AB18" i="22"/>
  <c r="AB13" i="22"/>
  <c r="AB9" i="22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AB29" i="22" l="1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F30" i="46" s="1"/>
  <c r="C8" i="43"/>
  <c r="F6" i="9" s="1"/>
  <c r="AF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F21" i="46" s="1"/>
  <c r="B13" i="22"/>
  <c r="C12" i="43" s="1"/>
  <c r="F10" i="9" s="1"/>
  <c r="B26" i="22"/>
  <c r="C26" i="43" s="1"/>
  <c r="F24" i="9" s="1"/>
  <c r="AF37" i="46" s="1"/>
  <c r="B11" i="22"/>
  <c r="C10" i="43" s="1"/>
  <c r="F8" i="9" s="1"/>
  <c r="C22" i="43"/>
  <c r="F20" i="9" s="1"/>
  <c r="AF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F31" i="46" s="1"/>
  <c r="B22" i="22"/>
  <c r="C21" i="43" s="1"/>
  <c r="F19" i="9" s="1"/>
  <c r="B21" i="22"/>
  <c r="C20" i="43" s="1"/>
  <c r="F18" i="9" s="1"/>
  <c r="AF27" i="46" s="1"/>
  <c r="B20" i="22"/>
  <c r="C19" i="43" s="1"/>
  <c r="F17" i="9" s="1"/>
  <c r="AF26" i="46" s="1"/>
  <c r="B18" i="22"/>
  <c r="C17" i="43" s="1"/>
  <c r="F15" i="9" s="1"/>
  <c r="B16" i="22"/>
  <c r="C15" i="43" s="1"/>
  <c r="F13" i="9" s="1"/>
  <c r="AF20" i="46" s="1"/>
  <c r="B15" i="22"/>
  <c r="C14" i="43" s="1"/>
  <c r="F12" i="9" s="1"/>
  <c r="AF19" i="46" s="1"/>
  <c r="B14" i="22"/>
  <c r="C13" i="43" s="1"/>
  <c r="F11" i="9" s="1"/>
  <c r="B12" i="22"/>
  <c r="C11" i="43" s="1"/>
  <c r="F9" i="9" s="1"/>
  <c r="AF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F12" i="46"/>
  <c r="AF13" i="46"/>
  <c r="AR36" i="45"/>
  <c r="N131" i="27"/>
  <c r="N20" i="28"/>
  <c r="AI20" i="28" s="1"/>
  <c r="AF35" i="46"/>
  <c r="AF32" i="46"/>
  <c r="AF36" i="46"/>
  <c r="AF33" i="46"/>
  <c r="AF34" i="46"/>
  <c r="AU48" i="45"/>
  <c r="N11" i="54"/>
  <c r="AF22" i="46"/>
  <c r="AF23" i="46"/>
  <c r="AF24" i="46"/>
  <c r="AF25" i="46"/>
  <c r="AF15" i="46"/>
  <c r="AF14" i="46"/>
  <c r="AS36" i="45"/>
  <c r="N13" i="54"/>
  <c r="AF28" i="46"/>
  <c r="AR30" i="45"/>
  <c r="AD98" i="27" a="1"/>
  <c r="AD98" i="27" s="1"/>
  <c r="M88" i="27" s="1"/>
  <c r="AF18" i="46"/>
  <c r="AF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R8" i="28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H92" i="46"/>
  <c r="I92" i="46"/>
  <c r="AI25" i="22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F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S59" i="28" l="1"/>
  <c r="T59" i="28" s="1"/>
  <c r="AC59" i="28" s="1"/>
  <c r="AB59" i="28" s="1"/>
  <c r="V59" i="28" s="1"/>
  <c r="S12" i="28"/>
  <c r="T12" i="28" s="1"/>
  <c r="S7" i="28"/>
  <c r="G6" i="46"/>
  <c r="S60" i="51"/>
  <c r="T60" i="51" s="1"/>
  <c r="S59" i="51"/>
  <c r="T59" i="51" s="1"/>
  <c r="AC59" i="51" s="1"/>
  <c r="AB59" i="51" s="1"/>
  <c r="L14" i="46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S10" i="52"/>
  <c r="T10" i="52" s="1"/>
  <c r="S7" i="52"/>
  <c r="T7" i="52" s="1"/>
  <c r="S20" i="52"/>
  <c r="S49" i="52"/>
  <c r="T49" i="52" s="1"/>
  <c r="V37" i="27"/>
  <c r="S38" i="52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S14" i="28"/>
  <c r="T14" i="28" s="1"/>
  <c r="T37" i="27"/>
  <c r="S10" i="28"/>
  <c r="T10" i="28" s="1"/>
  <c r="S16" i="28"/>
  <c r="S11" i="28"/>
  <c r="T11" i="28" s="1"/>
  <c r="S8" i="28"/>
  <c r="S24" i="28"/>
  <c r="S9" i="28"/>
  <c r="S35" i="51"/>
  <c r="T35" i="51" s="1"/>
  <c r="AC35" i="51" s="1"/>
  <c r="AB35" i="51" s="1"/>
  <c r="S37" i="5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S38" i="51"/>
  <c r="U37" i="27"/>
  <c r="S42" i="51"/>
  <c r="T42" i="51" s="1"/>
  <c r="S23" i="51"/>
  <c r="T23" i="51" s="1"/>
  <c r="S24" i="51"/>
  <c r="S36" i="51"/>
  <c r="T36" i="51" s="1"/>
  <c r="S44" i="51"/>
  <c r="S12" i="51"/>
  <c r="S14" i="51"/>
  <c r="S16" i="51"/>
  <c r="S10" i="51"/>
  <c r="T10" i="51" s="1"/>
  <c r="S8" i="51"/>
  <c r="G5" i="48" l="1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2" i="52"/>
  <c r="AC11" i="52"/>
  <c r="AC23" i="52"/>
  <c r="AB23" i="52" s="1"/>
  <c r="AC10" i="52"/>
  <c r="AB10" i="52" s="1"/>
  <c r="AC7" i="52"/>
  <c r="AC7" i="28"/>
  <c r="AC10" i="28"/>
  <c r="AB10" i="28" s="1"/>
  <c r="AC12" i="28"/>
  <c r="AB12" i="28" s="1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L20" i="46" s="1"/>
  <c r="F24" i="22"/>
  <c r="AC37" i="28"/>
  <c r="AB37" i="28" s="1"/>
  <c r="T46" i="28"/>
  <c r="K27" i="22"/>
  <c r="K18" i="22" s="1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J18" i="22" s="1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J22" i="22" l="1"/>
  <c r="F22" i="22"/>
  <c r="K22" i="22"/>
  <c r="I22" i="22"/>
  <c r="H22" i="22"/>
  <c r="G22" i="22"/>
  <c r="L9" i="46"/>
  <c r="AB11" i="52"/>
  <c r="V11" i="52" s="1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F27" i="22"/>
  <c r="G24" i="22"/>
  <c r="I18" i="22"/>
  <c r="AC51" i="28" s="1"/>
  <c r="AB51" i="28" s="1"/>
  <c r="V51" i="28" s="1"/>
  <c r="G13" i="22"/>
  <c r="V59" i="52"/>
  <c r="L19" i="46"/>
  <c r="V60" i="28"/>
  <c r="L10" i="46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AO12" i="22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AC13" i="51" l="1"/>
  <c r="G26" i="22" s="1"/>
  <c r="G29" i="22" s="1"/>
  <c r="AC13" i="52"/>
  <c r="H26" i="22" s="1"/>
  <c r="H29" i="22" s="1"/>
  <c r="AC39" i="28"/>
  <c r="AC39" i="52"/>
  <c r="K26" i="22" s="1"/>
  <c r="K29" i="22" s="1"/>
  <c r="AC39" i="51"/>
  <c r="J26" i="22" s="1"/>
  <c r="J29" i="22" s="1"/>
  <c r="AA39" i="28"/>
  <c r="I26" i="22"/>
  <c r="I29" i="22" s="1"/>
  <c r="AA39" i="51"/>
  <c r="AA13" i="51"/>
  <c r="AA13" i="52"/>
  <c r="AC13" i="28"/>
  <c r="I10" i="48"/>
  <c r="AC27" i="51"/>
  <c r="I9" i="22"/>
  <c r="Y18" i="22"/>
  <c r="AC18" i="22" s="1"/>
  <c r="M9" i="48"/>
  <c r="L9" i="48" s="1"/>
  <c r="F23" i="48" s="1"/>
  <c r="AO11" i="22"/>
  <c r="M11" i="48"/>
  <c r="AO13" i="22"/>
  <c r="M5" i="48"/>
  <c r="L5" i="48" s="1"/>
  <c r="I5" i="48" s="1"/>
  <c r="AO10" i="22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AC54" i="28"/>
  <c r="Y13" i="22"/>
  <c r="Y17" i="22"/>
  <c r="Y22" i="22"/>
  <c r="Y27" i="22"/>
  <c r="AC2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C54" i="51" l="1"/>
  <c r="AC54" i="52"/>
  <c r="AA39" i="52"/>
  <c r="AA13" i="28"/>
  <c r="F26" i="22"/>
  <c r="AC27" i="28"/>
  <c r="AC27" i="52"/>
  <c r="AC22" i="22"/>
  <c r="Y9" i="22"/>
  <c r="AC9" i="22" s="1"/>
  <c r="F21" i="48"/>
  <c r="I9" i="48"/>
  <c r="Y28" i="22"/>
  <c r="Z35" i="22"/>
  <c r="AK25" i="22"/>
  <c r="Z36" i="22"/>
  <c r="AL25" i="22"/>
  <c r="AB27" i="28"/>
  <c r="L6" i="46" s="1"/>
  <c r="AB27" i="52"/>
  <c r="L16" i="46" s="1"/>
  <c r="AB54" i="51"/>
  <c r="L13" i="46" s="1"/>
  <c r="H31" i="22"/>
  <c r="Y19" i="22"/>
  <c r="V20" i="52"/>
  <c r="V20" i="28"/>
  <c r="Y10" i="22"/>
  <c r="AB54" i="28"/>
  <c r="L8" i="46" s="1"/>
  <c r="AA17" i="22"/>
  <c r="AC17" i="22"/>
  <c r="AA11" i="22"/>
  <c r="AC11" i="22"/>
  <c r="AA16" i="22"/>
  <c r="AC13" i="22"/>
  <c r="V33" i="28"/>
  <c r="AA13" i="22"/>
  <c r="AA14" i="22"/>
  <c r="AA15" i="22"/>
  <c r="AA27" i="22"/>
  <c r="AA22" i="22"/>
  <c r="AA18" i="22"/>
  <c r="Y26" i="22" l="1"/>
  <c r="Y29" i="22" s="1"/>
  <c r="F29" i="22"/>
  <c r="F30" i="22" s="1"/>
  <c r="AA9" i="22"/>
  <c r="I30" i="22"/>
  <c r="AA19" i="22"/>
  <c r="AC19" i="22"/>
  <c r="AA10" i="22"/>
  <c r="AC10" i="22"/>
  <c r="AH25" i="22" l="1"/>
  <c r="G30" i="22"/>
  <c r="Z33" i="22"/>
  <c r="Z34" i="22"/>
  <c r="AG25" i="22"/>
  <c r="M12" i="48" l="1"/>
  <c r="L12" i="48" s="1"/>
  <c r="F26" i="48" l="1"/>
  <c r="I12" i="48"/>
  <c r="AC26" i="22"/>
  <c r="AA26" i="22"/>
  <c r="AF25" i="22"/>
  <c r="S30" i="22"/>
  <c r="AO14" i="22"/>
  <c r="Z38" i="22" l="1"/>
  <c r="T30" i="22"/>
  <c r="AN25" i="22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I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<sst xmlns="http://schemas.openxmlformats.org/spreadsheetml/2006/main" count="68859" uniqueCount="1019">
  <si>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</si>
  <si>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</si>
  <si>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</si>
  <si>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</si>
  <si>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</si>
  <si>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</si>
  <si>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</si>
  <si>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</si>
  <si>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</si>
  <si>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</si>
  <si>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</si>
  <si>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</si>
  <si>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</si>
  <si>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</si>
  <si>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</si>
  <si>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</si>
  <si>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</si>
  <si>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</si>
  <si>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</si>
  <si>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</si>
  <si>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</si>
  <si>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</si>
  <si>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</si>
  <si>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</si>
  <si>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</si>
  <si>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</si>
  <si>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</si>
  <si>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</si>
  <si>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</si>
  <si>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</si>
  <si>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</si>
  <si>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</si>
  <si>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</si>
  <si>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</si>
  <si>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</si>
  <si>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</si>
  <si>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</si>
  <si>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</si>
  <si>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</si>
  <si>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</si>
  <si>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</si>
  <si>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</si>
  <si>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</si>
  <si>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</si>
  <si>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</si>
  <si>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</si>
  <si>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</si>
  <si>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</si>
  <si>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</si>
  <si>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</si>
  <si>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</si>
  <si>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</si>
  <si>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</si>
  <si>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</si>
  <si>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</si>
  <si>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</si>
  <si>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</si>
  <si>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</si>
  <si>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</si>
  <si>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</si>
  <si>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</si>
  <si>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</si>
  <si>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</si>
  <si>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</si>
  <si>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</si>
  <si>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</si>
  <si>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</si>
  <si>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</si>
  <si>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</si>
  <si>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</si>
  <si>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</si>
  <si>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</si>
  <si>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</si>
  <si>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</si>
  <si>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</si>
  <si>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</si>
  <si>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</si>
  <si>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</si>
  <si>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</si>
  <si>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</si>
  <si>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</si>
  <si>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</si>
  <si>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</si>
  <si>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</si>
  <si>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</si>
  <si>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</si>
  <si>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</si>
  <si>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</si>
  <si>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</si>
  <si>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</si>
  <si>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</si>
  <si>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</si>
  <si>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</si>
  <si>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</si>
  <si>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</si>
  <si>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</si>
  <si>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</si>
  <si>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</si>
  <si>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</si>
  <si>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</si>
  <si>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</si>
  <si>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</si>
  <si>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</si>
  <si>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</si>
  <si>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</si>
  <si>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</si>
  <si>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</si>
  <si>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</si>
  <si>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</si>
  <si>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</si>
  <si>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</si>
  <si>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</si>
  <si>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</si>
  <si>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</si>
  <si>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</si>
  <si>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</si>
  <si>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</si>
  <si>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</si>
  <si>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</si>
  <si>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</si>
  <si>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</si>
  <si>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</si>
  <si>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</si>
  <si>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</si>
  <si>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</si>
  <si>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</si>
  <si>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</si>
  <si>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</si>
  <si>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</si>
  <si>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</si>
  <si>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</si>
  <si>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</si>
  <si>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</si>
  <si>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</si>
  <si>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</si>
  <si>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</si>
  <si>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</si>
  <si>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</si>
  <si>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</si>
  <si>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</si>
  <si>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</si>
  <si>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</si>
  <si>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</si>
  <si>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</si>
  <si>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</si>
  <si>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</si>
  <si>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</si>
  <si>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</si>
  <si>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</si>
  <si>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</si>
  <si>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</si>
  <si>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</si>
  <si>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</si>
  <si>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</si>
  <si>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</si>
  <si>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</si>
  <si>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</si>
  <si>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</si>
  <si>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</si>
  <si>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</si>
  <si>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</si>
  <si>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</si>
  <si>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</si>
  <si>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</si>
  <si>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</si>
  <si>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</si>
  <si>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</si>
  <si>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</si>
  <si>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</si>
  <si>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</si>
  <si>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</si>
  <si>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</si>
  <si>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</si>
  <si>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</si>
  <si>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</si>
  <si>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</si>
  <si>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</si>
  <si>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</si>
  <si>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</si>
  <si>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</si>
  <si>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</si>
  <si>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</si>
  <si>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</si>
  <si>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</si>
  <si>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</si>
  <si>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</si>
  <si>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</si>
  <si>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</si>
  <si>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</si>
  <si>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</si>
  <si>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</si>
  <si>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</si>
  <si>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</si>
  <si>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</si>
  <si>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</si>
  <si>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</si>
  <si>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</si>
  <si>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</si>
  <si>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</si>
  <si>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</si>
  <si>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</si>
  <si>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</si>
  <si>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</si>
  <si>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</si>
  <si>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</si>
  <si>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</si>
  <si>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</si>
  <si>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</si>
  <si>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</si>
  <si>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</si>
  <si>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</si>
  <si>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</si>
  <si>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</si>
  <si>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</si>
  <si>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</si>
  <si>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</si>
  <si>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</si>
  <si>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</si>
  <si>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</si>
  <si>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</si>
  <si>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</si>
  <si>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</si>
  <si>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</si>
  <si>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</si>
  <si>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</si>
  <si>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</si>
  <si>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</si>
  <si>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</si>
  <si>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</si>
  <si>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</si>
  <si>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</si>
  <si>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</si>
  <si>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</si>
  <si>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</si>
  <si>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</si>
  <si>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</si>
  <si>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</si>
  <si>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</si>
  <si>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</si>
  <si>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</si>
  <si>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</si>
  <si>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</si>
  <si>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</si>
  <si>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</si>
  <si>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</si>
  <si>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</si>
  <si>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</si>
  <si>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</si>
  <si>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</si>
  <si>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</si>
  <si>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</si>
  <si>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</si>
  <si>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</si>
  <si>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</si>
  <si>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</si>
  <si>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</si>
  <si>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</si>
  <si>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</si>
  <si>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</si>
  <si>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</si>
  <si>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</si>
  <si>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</si>
  <si>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</si>
  <si>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</si>
  <si>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</si>
  <si>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</si>
  <si>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</si>
  <si>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</si>
  <si>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</si>
  <si>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</si>
  <si>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</si>
  <si>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</si>
  <si>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</si>
  <si>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</si>
  <si>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</si>
  <si>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</si>
  <si>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</si>
  <si>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</si>
  <si>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</si>
  <si>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</si>
  <si>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</si>
  <si>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</si>
  <si>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</si>
  <si>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</si>
  <si>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</si>
  <si>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</si>
  <si>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</si>
  <si>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</si>
  <si>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</si>
  <si>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</si>
  <si>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</si>
  <si>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</si>
  <si>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</si>
  <si>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</si>
  <si>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</si>
  <si>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</si>
  <si>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</si>
  <si>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</si>
  <si>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</si>
  <si>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</si>
  <si>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</si>
  <si>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</si>
  <si>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</si>
  <si>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</si>
  <si>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</si>
  <si>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</si>
  <si>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</si>
  <si>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</si>
  <si>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</si>
  <si>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</si>
  <si>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</si>
  <si>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</si>
  <si>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</si>
  <si>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</si>
  <si>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</si>
  <si>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</si>
  <si>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</si>
  <si>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</si>
  <si>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</si>
  <si>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</si>
  <si>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</si>
  <si>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</si>
  <si>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</si>
  <si>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</si>
  <si>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</si>
  <si>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</si>
  <si>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</si>
  <si>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</si>
  <si>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</si>
  <si>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</si>
  <si>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</si>
  <si>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</si>
  <si>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</si>
  <si>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</si>
  <si>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</si>
  <si>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</si>
  <si>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</si>
  <si>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</si>
  <si>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</si>
  <si>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</si>
  <si>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</si>
  <si>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</si>
  <si>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</si>
  <si>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</si>
  <si>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</si>
  <si>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</si>
  <si>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</si>
  <si>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</si>
  <si>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</si>
  <si>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</si>
  <si>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</si>
  <si>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</si>
  <si>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</si>
  <si>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</si>
  <si>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</si>
  <si>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</si>
  <si>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</si>
  <si>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</si>
  <si>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</si>
  <si>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</si>
  <si>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</si>
  <si>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</si>
  <si>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</si>
  <si>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</si>
  <si>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</si>
  <si>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</si>
  <si>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</si>
  <si>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</si>
  <si>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</si>
  <si>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</si>
  <si>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</si>
  <si>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</si>
  <si>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</si>
  <si>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</si>
  <si>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</si>
  <si>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</si>
  <si>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</si>
  <si>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</si>
  <si>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</si>
  <si>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</si>
  <si>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</si>
  <si>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</si>
  <si>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</si>
  <si>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</si>
  <si>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</si>
  <si>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</si>
  <si>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</si>
  <si>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</si>
  <si>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</si>
  <si>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</si>
  <si>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</si>
  <si>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</si>
  <si>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</si>
  <si>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</si>
  <si>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</si>
  <si>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</si>
  <si>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</si>
  <si>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</si>
  <si>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</si>
  <si>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</si>
  <si>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</si>
  <si>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</si>
  <si>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</si>
  <si>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</si>
  <si>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</si>
  <si>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</si>
  <si>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</si>
  <si>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</si>
  <si>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</si>
  <si>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</si>
  <si>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</si>
  <si>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</si>
  <si>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</si>
  <si>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</si>
  <si>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</si>
  <si>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</si>
  <si>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</si>
  <si>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</si>
  <si>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</si>
  <si>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</si>
  <si>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</si>
  <si>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</si>
  <si>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</si>
  <si>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</si>
  <si>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</si>
  <si>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</si>
  <si>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</si>
  <si>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</si>
  <si>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</si>
  <si>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</si>
  <si>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</si>
  <si>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</si>
  <si>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</si>
  <si>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</si>
  <si>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</si>
  <si>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</si>
  <si>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</si>
  <si>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</si>
  <si>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</si>
  <si>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</si>
  <si>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</si>
  <si>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</si>
  <si>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</si>
  <si>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</si>
  <si>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</si>
  <si>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</si>
  <si>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</si>
  <si>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</si>
  <si>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</si>
  <si>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</si>
  <si>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</si>
  <si>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</si>
  <si>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</si>
  <si>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</si>
  <si>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</si>
  <si>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</si>
  <si>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</si>
  <si>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</si>
  <si>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</si>
  <si>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</si>
  <si>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</si>
  <si>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</si>
  <si>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</si>
  <si>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</si>
  <si>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</si>
  <si>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</si>
  <si>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</si>
  <si>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</si>
  <si>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</si>
  <si>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</si>
  <si>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</si>
  <si>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</si>
  <si>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</si>
  <si>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</si>
  <si>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</si>
  <si>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</si>
  <si>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</si>
  <si>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</si>
  <si>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</si>
  <si>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</si>
  <si>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</si>
  <si>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</si>
  <si>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</si>
  <si>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</si>
  <si>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</si>
  <si>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</si>
  <si>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</si>
  <si>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</si>
  <si>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</si>
  <si>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</si>
  <si>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</si>
  <si>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</si>
  <si>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</si>
  <si>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</si>
  <si>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</si>
  <si>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</si>
  <si>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</si>
  <si>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</si>
  <si>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</si>
  <si>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</si>
  <si>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</si>
  <si>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</si>
  <si>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</si>
  <si>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</si>
  <si>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</si>
  <si>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</si>
  <si>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</si>
  <si>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</si>
  <si>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</si>
  <si>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</si>
  <si>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</si>
  <si>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</si>
  <si>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</si>
  <si>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</si>
  <si>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</si>
  <si>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</si>
  <si>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</si>
  <si>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</si>
  <si>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</si>
  <si>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</si>
  <si>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</si>
  <si>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</si>
  <si>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</si>
  <si>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</si>
  <si>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</si>
  <si>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</si>
  <si>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</si>
  <si>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</si>
  <si>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</si>
  <si>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</si>
  <si>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</si>
  <si>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</si>
  <si>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</si>
  <si>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</si>
  <si>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</si>
  <si>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</si>
  <si>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</si>
  <si>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</si>
  <si>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</si>
  <si>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</si>
  <si>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</si>
  <si>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</si>
  <si>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</si>
  <si>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</si>
  <si>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</si>
  <si>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</si>
  <si>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</si>
  <si>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</si>
  <si>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</si>
  <si>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</si>
  <si>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</si>
  <si>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</si>
  <si>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</si>
  <si>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</si>
  <si>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</si>
  <si>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</si>
  <si>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</si>
  <si>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</si>
  <si>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</si>
  <si>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</si>
  <si>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</si>
  <si>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</si>
  <si>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</si>
  <si>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</si>
  <si>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</si>
  <si>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</si>
  <si>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</si>
  <si>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</si>
  <si>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</si>
  <si>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</si>
  <si>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</si>
  <si>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</si>
  <si>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</si>
  <si>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</si>
  <si>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</si>
  <si>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</si>
  <si>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</si>
  <si>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</si>
  <si>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</si>
  <si>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</si>
  <si>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</si>
  <si>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</si>
  <si>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</si>
  <si>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</si>
  <si>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</si>
  <si>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</si>
  <si>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</si>
  <si>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</si>
  <si>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</si>
  <si>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</si>
  <si>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</si>
  <si>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</si>
  <si>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</si>
  <si>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</si>
  <si>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</si>
  <si>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</si>
  <si>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</si>
  <si>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</si>
  <si>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</si>
  <si>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</si>
  <si>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</si>
  <si>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</si>
  <si>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</si>
  <si>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</si>
  <si>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</si>
  <si>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</si>
  <si>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</si>
  <si>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</si>
  <si>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</si>
  <si>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</si>
  <si>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</si>
  <si>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</si>
  <si>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</si>
  <si>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</si>
  <si>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</si>
  <si>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</si>
  <si>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</si>
  <si>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</si>
  <si>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</si>
  <si>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</si>
  <si>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</si>
  <si>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</si>
  <si>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</si>
  <si>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</si>
  <si>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</si>
  <si>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</si>
  <si>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</si>
  <si>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</si>
  <si>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</si>
  <si>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</si>
  <si>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</si>
  <si>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</si>
  <si>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</si>
  <si>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</si>
  <si>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</si>
  <si>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</si>
  <si>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</si>
  <si>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</si>
  <si>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</si>
  <si>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</si>
  <si>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</si>
  <si>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</si>
  <si>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</si>
  <si>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</si>
  <si>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</si>
  <si>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</si>
  <si>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</si>
  <si>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</si>
  <si>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</si>
  <si>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</si>
  <si>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</si>
  <si>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</si>
  <si>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</si>
  <si>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</si>
  <si>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</si>
  <si>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</si>
  <si>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</si>
  <si>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</si>
  <si>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</si>
  <si>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</si>
  <si>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</si>
  <si>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</si>
  <si>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</si>
  <si>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</si>
  <si>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</si>
  <si>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</si>
  <si>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</si>
  <si>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</si>
  <si>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</si>
  <si>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</si>
  <si>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</si>
  <si>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</si>
  <si>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</si>
  <si>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</si>
  <si>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</si>
  <si>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</si>
  <si>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</si>
  <si>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</si>
  <si>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</si>
  <si>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</si>
  <si>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</si>
  <si>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</si>
  <si>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</si>
  <si>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</si>
  <si>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</si>
  <si>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</si>
  <si>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</si>
  <si>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</si>
  <si>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</si>
  <si>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</si>
  <si>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</si>
  <si>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</si>
  <si>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</si>
  <si>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</si>
  <si>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</si>
  <si>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</si>
  <si>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</si>
  <si>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</si>
  <si>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</si>
  <si>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</si>
  <si>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</si>
  <si>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</si>
  <si>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</si>
  <si>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</si>
  <si>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</si>
  <si>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</si>
  <si>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</si>
  <si>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</si>
  <si>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</si>
  <si>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</si>
  <si>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</si>
  <si>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</si>
  <si>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</si>
  <si>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</si>
  <si>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</si>
  <si>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</si>
  <si>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</si>
  <si>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</si>
  <si>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</si>
  <si>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</si>
  <si>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</si>
  <si>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</si>
  <si>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</si>
  <si>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</si>
  <si>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</si>
  <si>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</si>
  <si>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</si>
  <si>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</si>
  <si>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</si>
  <si>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</si>
  <si>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</si>
  <si>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</si>
  <si>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</si>
  <si>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</si>
  <si>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</si>
  <si>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</si>
  <si>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</si>
  <si>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</si>
  <si>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</si>
  <si>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</si>
  <si>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</si>
  <si>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</si>
  <si>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</si>
  <si>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</si>
  <si>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</si>
  <si>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</si>
  <si>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</si>
  <si>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</si>
  <si>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</si>
  <si>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</si>
  <si>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</si>
  <si>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</si>
  <si>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</si>
  <si>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</si>
  <si>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</si>
  <si>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</si>
  <si>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</si>
  <si>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</si>
  <si>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</si>
  <si>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</si>
  <si>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</si>
  <si>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</si>
  <si>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</si>
  <si>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</si>
  <si>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</si>
  <si>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</si>
  <si>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</si>
  <si>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</si>
  <si>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</si>
  <si>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</si>
  <si>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</si>
  <si>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</si>
  <si>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</si>
  <si>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</si>
  <si>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</si>
  <si>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</si>
  <si>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</si>
  <si>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</si>
  <si>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</si>
  <si>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</si>
  <si>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</si>
  <si>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</si>
  <si>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</si>
  <si>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</si>
  <si>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</si>
  <si>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</si>
  <si>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</si>
  <si>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</si>
  <si>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</si>
  <si>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</si>
  <si>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</si>
  <si>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</si>
  <si>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</si>
  <si>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</si>
  <si>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</si>
  <si>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</si>
  <si>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</si>
  <si>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</si>
  <si>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</si>
  <si>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</si>
  <si>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</si>
  <si>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</si>
  <si>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</si>
  <si>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</si>
  <si>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</si>
  <si>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</si>
  <si>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</si>
  <si>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</si>
  <si>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</si>
  <si>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</si>
  <si>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</si>
  <si>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</si>
  <si>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</si>
  <si>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</si>
  <si>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</si>
  <si>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</si>
  <si>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</si>
  <si>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</si>
  <si>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</si>
  <si>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</si>
  <si>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</si>
  <si>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</si>
  <si>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</si>
  <si>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</si>
  <si>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</si>
  <si>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</si>
  <si>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</si>
  <si>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</si>
  <si>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</si>
  <si>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</si>
  <si>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</si>
  <si>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</si>
  <si>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</si>
  <si>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</si>
  <si>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</si>
  <si>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</si>
  <si>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</si>
  <si>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</si>
  <si>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</si>
  <si>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</si>
  <si>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</si>
  <si>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</si>
  <si>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</si>
  <si>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</si>
  <si>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</si>
  <si>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</si>
  <si>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</si>
  <si>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</si>
  <si>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</si>
  <si>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</si>
  <si>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</si>
  <si>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</si>
  <si>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</si>
  <si>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</si>
  <si>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</si>
  <si>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</si>
  <si>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</si>
  <si>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</si>
  <si>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</si>
  <si>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</si>
  <si>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</si>
  <si>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</si>
  <si>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</si>
  <si>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</si>
  <si>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</si>
  <si>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</si>
  <si>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</si>
  <si>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</si>
  <si>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</si>
  <si>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</si>
  <si>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</si>
  <si>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</si>
  <si>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</si>
  <si>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</si>
  <si>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</si>
  <si>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</si>
  <si>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</si>
  <si>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</si>
  <si>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</si>
  <si>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</si>
  <si>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</si>
  <si>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</si>
  <si>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</si>
  <si>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</si>
  <si>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</si>
  <si>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</si>
  <si>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</si>
  <si>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</si>
  <si>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</si>
  <si>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</si>
  <si>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</si>
  <si>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</si>
  <si>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</si>
  <si>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</si>
  <si>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</si>
  <si>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</si>
  <si>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</si>
  <si>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</si>
  <si>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</si>
  <si>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</si>
  <si>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</si>
  <si>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</si>
  <si>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</si>
  <si>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</si>
  <si>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</si>
  <si>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</si>
  <si>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</si>
  <si>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</si>
  <si>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</si>
  <si>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</si>
  <si>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</si>
  <si>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</si>
  <si>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</si>
  <si>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</si>
  <si>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</si>
  <si>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</si>
  <si>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</si>
  <si>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</si>
  <si>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</si>
  <si>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</si>
  <si>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</si>
  <si>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</si>
  <si>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</si>
  <si>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</si>
  <si>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</si>
  <si>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</si>
  <si>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</si>
  <si>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</si>
  <si>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</si>
  <si>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</si>
  <si>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</si>
  <si>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</si>
  <si>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</si>
  <si>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</si>
  <si>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</si>
  <si>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</si>
  <si>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</si>
  <si>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</si>
  <si>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</si>
  <si>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</si>
  <si>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</si>
  <si>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</si>
  <si>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</si>
  <si>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</si>
  <si>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</si>
  <si>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</si>
  <si>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</si>
  <si>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</si>
  <si>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</si>
  <si>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</si>
  <si>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</si>
  <si>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</si>
  <si>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Space</t>
  </si>
  <si>
    <t>VAR_OUT</t>
  </si>
  <si>
    <t>VAR_IN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</si>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</sst>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i/>
      <sz val="8.25"/>
      <color rgb="FF000000"/>
      <name val="Microsoft Sans Serif"/>
      <family val="2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rgb="FFFFFFFF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9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3" fillId="0" borderId="0"/>
    <xf numFmtId="0" fontId="1" fillId="0" borderId="0"/>
    <xf numFmtId="0" fontId="94" fillId="0" borderId="0"/>
    <xf numFmtId="0" fontId="15" fillId="0" borderId="0"/>
    <xf numFmtId="0" fontId="15" fillId="0" borderId="0"/>
    <xf numFmtId="0" fontId="95" fillId="49" borderId="0" applyNumberFormat="0" applyBorder="0" applyAlignment="0" applyProtection="0"/>
    <xf numFmtId="43" fontId="15" fillId="0" borderId="0" applyFont="0" applyFill="0" applyBorder="0" applyAlignment="0" applyProtection="0"/>
    <xf numFmtId="0" fontId="93" fillId="0" borderId="0"/>
  </cellStyleXfs>
  <cellXfs count="1099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7" fontId="0" fillId="36" borderId="0" xfId="0" applyNumberFormat="1" applyFill="1"/>
    <xf numFmtId="167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0" fontId="32" fillId="45" borderId="0" xfId="0" applyNumberFormat="1" applyFont="1" applyFill="1" applyBorder="1" applyAlignment="1" applyProtection="1">
      <protection locked="0"/>
    </xf>
    <xf numFmtId="0" fontId="32" fillId="45" borderId="0" xfId="0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49" fontId="87" fillId="44" borderId="176" xfId="0" applyNumberFormat="1" applyFont="1" applyFill="1" applyBorder="1" applyAlignment="1">
      <alignment horizontal="left" vertical="center"/>
    </xf>
    <xf numFmtId="49" fontId="87" fillId="44" borderId="176" xfId="0" applyNumberFormat="1" applyFont="1" applyFill="1" applyBorder="1" applyAlignment="1">
      <alignment horizontal="left" vertical="center"/>
    </xf>
    <xf numFmtId="0" fontId="53" fillId="30" borderId="0" xfId="0" applyFont="1" applyFill="1"/>
    <xf numFmtId="169" fontId="12" fillId="0" borderId="0" xfId="0" applyNumberFormat="1" applyFont="1"/>
    <xf numFmtId="0" fontId="32" fillId="5" borderId="0" xfId="0" applyFont="1" applyFill="1"/>
    <xf numFmtId="10" fontId="32" fillId="45" borderId="0" xfId="0" applyNumberFormat="1" applyFont="1" applyFill="1" applyBorder="1" applyAlignment="1" applyProtection="1">
      <protection locked="0"/>
    </xf>
    <xf numFmtId="10" fontId="32" fillId="5" borderId="0" xfId="0" applyNumberFormat="1" applyFont="1" applyFill="1" applyBorder="1" applyAlignment="1" applyProtection="1">
      <protection locked="0"/>
    </xf>
    <xf numFmtId="2" fontId="45" fillId="47" borderId="0" xfId="0" applyNumberFormat="1" applyFont="1" applyFill="1" applyBorder="1" applyAlignment="1">
      <alignment horizontal="left"/>
    </xf>
    <xf numFmtId="2" fontId="32" fillId="47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49" fontId="87" fillId="44" borderId="176" xfId="0" applyNumberFormat="1" applyFont="1" applyFill="1" applyBorder="1" applyAlignment="1">
      <alignment horizontal="left" vertical="center"/>
    </xf>
    <xf numFmtId="0" fontId="87" fillId="46" borderId="176" xfId="0" applyFont="1" applyFill="1" applyBorder="1" applyAlignment="1">
      <alignment horizontal="center" vertical="center"/>
    </xf>
    <xf numFmtId="167" fontId="32" fillId="0" borderId="2" xfId="0" applyNumberFormat="1" applyFont="1" applyFill="1" applyBorder="1" applyAlignment="1" applyProtection="1">
      <protection locked="0"/>
    </xf>
    <xf numFmtId="0" fontId="32" fillId="5" borderId="0" xfId="0" applyNumberFormat="1" applyFont="1" applyFill="1" applyBorder="1" applyAlignment="1" applyProtection="1">
      <protection locked="0"/>
    </xf>
    <xf numFmtId="0" fontId="87" fillId="46" borderId="176" xfId="0" applyFont="1" applyFill="1" applyBorder="1" applyAlignment="1">
      <alignment horizontal="center" vertical="center"/>
    </xf>
    <xf numFmtId="2" fontId="15" fillId="6" borderId="0" xfId="0" applyNumberFormat="1" applyFont="1" applyFill="1" applyAlignment="1">
      <alignment horizontal="right"/>
    </xf>
    <xf numFmtId="2" fontId="88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68" fontId="0" fillId="36" borderId="0" xfId="0" applyNumberFormat="1" applyFill="1"/>
    <xf numFmtId="168" fontId="0" fillId="6" borderId="0" xfId="0" applyNumberFormat="1" applyFill="1"/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15" fontId="32" fillId="0" borderId="0" xfId="0" applyNumberFormat="1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90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7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4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90" fillId="0" borderId="37" xfId="0" applyNumberFormat="1" applyFont="1" applyBorder="1" applyAlignment="1">
      <alignment horizontal="left"/>
    </xf>
    <xf numFmtId="38" fontId="90" fillId="0" borderId="38" xfId="0" applyNumberFormat="1" applyFont="1" applyBorder="1" applyAlignment="1">
      <alignment horizontal="left" vertical="top"/>
    </xf>
    <xf numFmtId="38" fontId="90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90" fillId="0" borderId="37" xfId="0" applyNumberFormat="1" applyFont="1" applyBorder="1" applyAlignment="1">
      <alignment horizontal="center"/>
    </xf>
    <xf numFmtId="38" fontId="90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90" fillId="0" borderId="73" xfId="0" applyNumberFormat="1" applyFont="1" applyBorder="1" applyAlignment="1">
      <alignment horizontal="center"/>
    </xf>
    <xf numFmtId="38" fontId="90" fillId="0" borderId="74" xfId="0" applyNumberFormat="1" applyFont="1" applyBorder="1" applyAlignment="1">
      <alignment horizontal="center"/>
    </xf>
    <xf numFmtId="38" fontId="90" fillId="0" borderId="94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90" fillId="0" borderId="43" xfId="0" applyNumberFormat="1" applyFont="1" applyBorder="1" applyAlignment="1">
      <alignment horizontal="center"/>
    </xf>
    <xf numFmtId="38" fontId="90" fillId="0" borderId="41" xfId="0" applyNumberFormat="1" applyFont="1" applyBorder="1" applyAlignment="1">
      <alignment horizontal="center"/>
    </xf>
    <xf numFmtId="38" fontId="90" fillId="0" borderId="45" xfId="0" applyNumberFormat="1" applyFont="1" applyBorder="1" applyAlignment="1">
      <alignment horizontal="center"/>
    </xf>
    <xf numFmtId="38" fontId="90" fillId="0" borderId="134" xfId="0" applyNumberFormat="1" applyFont="1" applyBorder="1" applyAlignment="1">
      <alignment horizontal="center"/>
    </xf>
    <xf numFmtId="38" fontId="90" fillId="0" borderId="133" xfId="0" applyNumberFormat="1" applyFont="1" applyBorder="1" applyAlignment="1">
      <alignment horizontal="center"/>
    </xf>
    <xf numFmtId="38" fontId="90" fillId="0" borderId="131" xfId="0" applyNumberFormat="1" applyFont="1" applyBorder="1" applyAlignment="1">
      <alignment horizontal="center"/>
    </xf>
    <xf numFmtId="38" fontId="90" fillId="0" borderId="79" xfId="0" applyNumberFormat="1" applyFont="1" applyBorder="1" applyAlignment="1">
      <alignment horizontal="left"/>
    </xf>
    <xf numFmtId="38" fontId="90" fillId="0" borderId="80" xfId="0" applyNumberFormat="1" applyFont="1" applyBorder="1" applyAlignment="1">
      <alignment horizontal="left" vertical="top"/>
    </xf>
    <xf numFmtId="38" fontId="23" fillId="0" borderId="180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90" fillId="0" borderId="83" xfId="0" applyNumberFormat="1" applyFont="1" applyBorder="1" applyAlignment="1">
      <alignment horizontal="center"/>
    </xf>
    <xf numFmtId="38" fontId="90" fillId="0" borderId="84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91" fillId="0" borderId="87" xfId="0" applyNumberFormat="1" applyFont="1" applyBorder="1" applyAlignment="1">
      <alignment horizontal="center"/>
    </xf>
    <xf numFmtId="38" fontId="90" fillId="0" borderId="69" xfId="0" applyNumberFormat="1" applyFont="1" applyBorder="1" applyAlignment="1">
      <alignment horizontal="left"/>
    </xf>
    <xf numFmtId="38" fontId="90" fillId="0" borderId="70" xfId="0" applyNumberFormat="1" applyFont="1" applyBorder="1" applyAlignment="1">
      <alignment horizontal="left" vertical="top"/>
    </xf>
    <xf numFmtId="38" fontId="90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90" fillId="0" borderId="69" xfId="0" applyNumberFormat="1" applyFont="1" applyBorder="1" applyAlignment="1">
      <alignment horizontal="center"/>
    </xf>
    <xf numFmtId="38" fontId="90" fillId="0" borderId="75" xfId="0" applyNumberFormat="1" applyFont="1" applyBorder="1" applyAlignment="1">
      <alignment horizontal="center"/>
    </xf>
    <xf numFmtId="38" fontId="90" fillId="0" borderId="121" xfId="0" applyNumberFormat="1" applyFont="1" applyBorder="1" applyAlignment="1">
      <alignment horizontal="left"/>
    </xf>
    <xf numFmtId="38" fontId="90" fillId="0" borderId="122" xfId="0" applyNumberFormat="1" applyFont="1" applyBorder="1" applyAlignment="1">
      <alignment horizontal="left" vertical="top"/>
    </xf>
    <xf numFmtId="38" fontId="90" fillId="0" borderId="127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90" fillId="0" borderId="121" xfId="0" applyNumberFormat="1" applyFont="1" applyBorder="1" applyAlignment="1">
      <alignment horizontal="center"/>
    </xf>
    <xf numFmtId="38" fontId="90" fillId="0" borderId="125" xfId="0" applyNumberFormat="1" applyFont="1" applyBorder="1" applyAlignment="1">
      <alignment horizontal="center"/>
    </xf>
    <xf numFmtId="38" fontId="90" fillId="0" borderId="86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21" fillId="0" borderId="189" xfId="0" applyNumberFormat="1" applyFont="1" applyBorder="1" applyAlignment="1">
      <alignment horizontal="center"/>
    </xf>
    <xf numFmtId="38" fontId="90" fillId="0" borderId="79" xfId="0" applyNumberFormat="1" applyFont="1" applyBorder="1" applyAlignment="1">
      <alignment horizontal="center"/>
    </xf>
    <xf numFmtId="38" fontId="90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92" fillId="48" borderId="176" xfId="0" applyFont="1" applyFill="1" applyBorder="1" applyAlignment="1">
      <alignment horizontal="center" vertical="center"/>
    </xf>
    <xf numFmtId="0" fontId="32" fillId="35" borderId="0" xfId="0" applyFont="1" applyFill="1"/>
    <xf numFmtId="169" fontId="14" fillId="0" borderId="0" xfId="0" applyNumberFormat="1" applyFont="1"/>
    <xf numFmtId="168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18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0" fontId="65" fillId="35" borderId="2" xfId="0" applyNumberFormat="1" applyFont="1" applyFill="1" applyBorder="1" applyAlignment="1" applyProtection="1">
      <alignment horizont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78.109429901580555</c:v>
                </c:pt>
                <c:pt idx="1">
                  <c:v>23.591409909240227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I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  <sheetView workbookViewId="1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41" t="s">
        <v>894</v>
      </c>
      <c r="B17" s="1041"/>
      <c r="C17" s="1041"/>
      <c r="D17" s="1041"/>
      <c r="E17" s="1041"/>
      <c r="F17" s="104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42" t="s">
        <v>656</v>
      </c>
      <c r="C20" s="1042"/>
      <c r="D20" s="1042"/>
      <c r="E20" s="1042"/>
      <c r="F20" s="104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43" t="s">
        <v>1</v>
      </c>
      <c r="C21" s="1043"/>
      <c r="D21" s="1043"/>
      <c r="E21" s="1043"/>
      <c r="F21" s="104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43" t="s">
        <v>658</v>
      </c>
      <c r="C22" s="1043"/>
      <c r="D22" s="1043"/>
      <c r="E22" s="1043"/>
      <c r="F22" s="1043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9" t="s">
        <v>895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44"/>
      <c r="B25" s="1044"/>
      <c r="C25" s="1044"/>
      <c r="D25" s="1044"/>
      <c r="E25" s="1044"/>
      <c r="F25" s="1044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40"/>
      <c r="B26" s="1040"/>
      <c r="C26" s="1040"/>
      <c r="D26" s="1040"/>
      <c r="E26" s="1040"/>
      <c r="F26" s="1040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  <sheetView workbookViewId="1"/>
  </sheetViews>
  <sheetFormatPr defaultColWidth="9.140625" defaultRowHeight="14.25"/>
  <cols>
    <col min="1" max="1" width="3.7109375" style="620" customWidth="1"/>
    <col min="2" max="2" width="19.5703125" style="620" customWidth="1"/>
    <col min="3" max="3" width="93.5703125" style="620" bestFit="1" customWidth="1"/>
    <col min="4" max="4" width="11.28515625" style="620" customWidth="1"/>
    <col min="5" max="5" width="11.42578125" style="620" customWidth="1"/>
    <col min="6" max="6" width="9.140625" style="620"/>
    <col min="7" max="7" width="18.5703125" style="620" customWidth="1"/>
    <col min="8" max="8" width="96.5703125" style="620" customWidth="1"/>
    <col min="9" max="16384" width="9.140625" style="620"/>
  </cols>
  <sheetData>
    <row r="1" spans="2:20" ht="15" thickBot="1"/>
    <row r="2" spans="2:20" ht="19.5" thickBot="1">
      <c r="B2" s="1045" t="s">
        <v>4</v>
      </c>
      <c r="C2" s="1046"/>
      <c r="D2" s="1046"/>
      <c r="E2" s="1047"/>
      <c r="G2" s="1045" t="s">
        <v>5</v>
      </c>
      <c r="H2" s="1047"/>
      <c r="I2" s="621"/>
      <c r="J2" s="621"/>
      <c r="K2" s="622"/>
      <c r="L2" s="622"/>
      <c r="M2" s="622"/>
      <c r="N2" s="622"/>
      <c r="O2" s="622"/>
      <c r="P2" s="622"/>
      <c r="Q2" s="622"/>
      <c r="R2" s="622"/>
      <c r="S2" s="622"/>
      <c r="T2" s="622"/>
    </row>
    <row r="3" spans="2:20" ht="15.75" thickBot="1">
      <c r="B3" s="646" t="s">
        <v>661</v>
      </c>
      <c r="C3" s="647" t="s">
        <v>6</v>
      </c>
      <c r="D3" s="647" t="s">
        <v>7</v>
      </c>
      <c r="E3" s="648" t="s">
        <v>898</v>
      </c>
      <c r="G3" s="624"/>
      <c r="H3" s="680" t="s">
        <v>662</v>
      </c>
      <c r="I3" s="621"/>
      <c r="J3" s="621"/>
      <c r="K3" s="622"/>
      <c r="L3" s="622"/>
      <c r="M3" s="622"/>
      <c r="N3" s="622"/>
      <c r="O3" s="622"/>
      <c r="P3" s="622"/>
      <c r="Q3" s="622"/>
      <c r="R3" s="622"/>
      <c r="S3" s="622"/>
      <c r="T3" s="622"/>
    </row>
    <row r="4" spans="2:20">
      <c r="B4" s="649" t="s">
        <v>896</v>
      </c>
      <c r="C4" s="650" t="s">
        <v>897</v>
      </c>
      <c r="D4" s="651">
        <v>44136</v>
      </c>
      <c r="E4" s="652" t="s">
        <v>899</v>
      </c>
      <c r="G4" s="628"/>
      <c r="H4" s="681" t="s">
        <v>664</v>
      </c>
      <c r="I4" s="621"/>
      <c r="J4" s="621"/>
      <c r="K4" s="622"/>
      <c r="L4" s="622"/>
      <c r="M4" s="622"/>
      <c r="N4" s="622"/>
      <c r="O4" s="622"/>
      <c r="P4" s="622"/>
      <c r="Q4" s="622"/>
      <c r="R4" s="622"/>
      <c r="S4" s="622"/>
      <c r="T4" s="622"/>
    </row>
    <row r="5" spans="2:20">
      <c r="B5" s="653" t="s">
        <v>8</v>
      </c>
      <c r="C5" s="625" t="s">
        <v>663</v>
      </c>
      <c r="D5" s="629">
        <v>44169</v>
      </c>
      <c r="E5" s="654" t="s">
        <v>900</v>
      </c>
      <c r="G5" s="630"/>
      <c r="H5" s="681" t="s">
        <v>666</v>
      </c>
      <c r="I5" s="621"/>
      <c r="J5" s="621"/>
      <c r="K5" s="622"/>
      <c r="L5" s="622"/>
      <c r="M5" s="622"/>
      <c r="N5" s="622"/>
      <c r="O5" s="622"/>
      <c r="P5" s="622"/>
      <c r="Q5" s="622"/>
      <c r="R5" s="622"/>
      <c r="S5" s="622"/>
      <c r="T5" s="622"/>
    </row>
    <row r="6" spans="2:20">
      <c r="B6" s="653" t="s">
        <v>901</v>
      </c>
      <c r="C6" s="625" t="s">
        <v>902</v>
      </c>
      <c r="D6" s="629">
        <v>44166</v>
      </c>
      <c r="E6" s="654" t="s">
        <v>900</v>
      </c>
      <c r="G6" s="631" t="s">
        <v>9</v>
      </c>
      <c r="H6" s="681" t="s">
        <v>668</v>
      </c>
      <c r="I6" s="621"/>
      <c r="J6" s="621"/>
      <c r="K6" s="622"/>
      <c r="L6" s="622"/>
      <c r="M6" s="622"/>
      <c r="N6" s="622"/>
      <c r="O6" s="622"/>
      <c r="P6" s="622"/>
      <c r="Q6" s="622"/>
      <c r="R6" s="622"/>
      <c r="S6" s="622"/>
      <c r="T6" s="622"/>
    </row>
    <row r="7" spans="2:20">
      <c r="B7" s="653" t="s">
        <v>904</v>
      </c>
      <c r="C7" s="625" t="s">
        <v>665</v>
      </c>
      <c r="D7" s="626">
        <v>43862</v>
      </c>
      <c r="E7" s="654" t="s">
        <v>900</v>
      </c>
      <c r="G7" s="632"/>
      <c r="H7" s="681" t="s">
        <v>670</v>
      </c>
      <c r="I7" s="621"/>
      <c r="J7" s="621"/>
      <c r="K7" s="622"/>
      <c r="L7" s="622"/>
      <c r="M7" s="622"/>
      <c r="N7" s="622"/>
      <c r="O7" s="622"/>
      <c r="P7" s="622"/>
      <c r="Q7" s="622"/>
      <c r="R7" s="622"/>
      <c r="S7" s="622"/>
      <c r="T7" s="622"/>
    </row>
    <row r="8" spans="2:20">
      <c r="B8" s="653" t="s">
        <v>667</v>
      </c>
      <c r="C8" s="625" t="s">
        <v>903</v>
      </c>
      <c r="D8" s="626">
        <v>44166</v>
      </c>
      <c r="E8" s="654" t="s">
        <v>900</v>
      </c>
      <c r="G8" s="633"/>
      <c r="H8" s="681" t="s">
        <v>928</v>
      </c>
      <c r="I8" s="634"/>
      <c r="J8" s="634"/>
      <c r="K8" s="634"/>
      <c r="L8" s="634"/>
      <c r="M8" s="634"/>
      <c r="N8" s="634"/>
      <c r="O8" s="634"/>
      <c r="P8" s="634"/>
      <c r="Q8" s="634"/>
      <c r="R8" s="634"/>
      <c r="S8" s="634"/>
      <c r="T8" s="634"/>
    </row>
    <row r="9" spans="2:20" ht="15" thickBot="1">
      <c r="B9" s="653" t="s">
        <v>905</v>
      </c>
      <c r="C9" s="625" t="s">
        <v>906</v>
      </c>
      <c r="D9" s="626">
        <v>44044</v>
      </c>
      <c r="E9" s="654" t="s">
        <v>900</v>
      </c>
      <c r="G9" s="635"/>
      <c r="H9" s="682" t="s">
        <v>10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</row>
    <row r="10" spans="2:20">
      <c r="B10" s="653" t="s">
        <v>907</v>
      </c>
      <c r="C10" s="625" t="s">
        <v>669</v>
      </c>
      <c r="D10" s="626">
        <v>44136</v>
      </c>
      <c r="E10" s="654" t="s">
        <v>900</v>
      </c>
      <c r="I10" s="636"/>
      <c r="J10" s="636"/>
      <c r="K10" s="636"/>
      <c r="L10" s="636"/>
      <c r="M10" s="636"/>
      <c r="N10" s="636"/>
      <c r="O10" s="636"/>
      <c r="P10" s="636"/>
      <c r="Q10" s="636"/>
      <c r="R10" s="636"/>
      <c r="S10" s="636"/>
      <c r="T10" s="636"/>
    </row>
    <row r="11" spans="2:20">
      <c r="B11" s="653" t="s">
        <v>908</v>
      </c>
      <c r="C11" s="625" t="s">
        <v>671</v>
      </c>
      <c r="D11" s="626">
        <v>44013</v>
      </c>
      <c r="E11" s="654" t="s">
        <v>900</v>
      </c>
      <c r="I11" s="636"/>
      <c r="J11" s="636"/>
      <c r="K11" s="636"/>
      <c r="L11" s="636"/>
      <c r="M11" s="636"/>
      <c r="N11" s="636"/>
      <c r="O11" s="636"/>
      <c r="P11" s="636"/>
      <c r="Q11" s="636"/>
      <c r="R11" s="636"/>
      <c r="S11" s="636"/>
      <c r="T11" s="636"/>
    </row>
    <row r="12" spans="2:20">
      <c r="B12" s="653" t="s">
        <v>909</v>
      </c>
      <c r="C12" s="625" t="s">
        <v>672</v>
      </c>
      <c r="D12" s="626">
        <v>44136</v>
      </c>
      <c r="E12" s="654" t="s">
        <v>899</v>
      </c>
    </row>
    <row r="13" spans="2:20">
      <c r="B13" s="653" t="s">
        <v>910</v>
      </c>
      <c r="C13" s="625" t="s">
        <v>912</v>
      </c>
      <c r="D13" s="626">
        <v>44136</v>
      </c>
      <c r="E13" s="654" t="s">
        <v>900</v>
      </c>
    </row>
    <row r="14" spans="2:20">
      <c r="B14" s="653" t="s">
        <v>911</v>
      </c>
      <c r="C14" s="625" t="s">
        <v>913</v>
      </c>
      <c r="D14" s="626">
        <v>44105</v>
      </c>
      <c r="E14" s="654" t="s">
        <v>900</v>
      </c>
    </row>
    <row r="15" spans="2:20">
      <c r="B15" s="653" t="s">
        <v>673</v>
      </c>
      <c r="C15" s="625" t="s">
        <v>674</v>
      </c>
      <c r="D15" s="626">
        <v>44105</v>
      </c>
      <c r="E15" s="654" t="s">
        <v>900</v>
      </c>
    </row>
    <row r="16" spans="2:20">
      <c r="B16" s="653" t="s">
        <v>11</v>
      </c>
      <c r="C16" s="625" t="s">
        <v>675</v>
      </c>
      <c r="D16" s="626">
        <v>44166</v>
      </c>
      <c r="E16" s="654" t="s">
        <v>900</v>
      </c>
    </row>
    <row r="17" spans="2:8">
      <c r="B17" s="653" t="s">
        <v>12</v>
      </c>
      <c r="C17" s="625" t="s">
        <v>676</v>
      </c>
      <c r="D17" s="626">
        <v>44166</v>
      </c>
      <c r="E17" s="654" t="s">
        <v>900</v>
      </c>
    </row>
    <row r="18" spans="2:8" ht="15" thickBot="1">
      <c r="B18" s="655" t="s">
        <v>13</v>
      </c>
      <c r="C18" s="656" t="s">
        <v>677</v>
      </c>
      <c r="D18" s="657">
        <v>44166</v>
      </c>
      <c r="E18" s="658" t="s">
        <v>900</v>
      </c>
    </row>
    <row r="19" spans="2:8" ht="15" thickBot="1"/>
    <row r="20" spans="2:8" ht="19.5" thickBot="1">
      <c r="B20" s="1048" t="s">
        <v>681</v>
      </c>
      <c r="C20" s="1049"/>
      <c r="D20" s="1049"/>
      <c r="E20" s="1050"/>
      <c r="G20" s="1045" t="s">
        <v>14</v>
      </c>
      <c r="H20" s="1047"/>
    </row>
    <row r="21" spans="2:8" ht="15" customHeight="1">
      <c r="B21" s="660" t="s">
        <v>661</v>
      </c>
      <c r="C21" s="661" t="s">
        <v>6</v>
      </c>
      <c r="D21" s="662" t="s">
        <v>7</v>
      </c>
      <c r="E21" s="663" t="s">
        <v>898</v>
      </c>
      <c r="G21" s="637" t="s">
        <v>15</v>
      </c>
      <c r="H21" s="638" t="s">
        <v>678</v>
      </c>
    </row>
    <row r="22" spans="2:8" ht="15" customHeight="1">
      <c r="B22" s="671" t="s">
        <v>18</v>
      </c>
      <c r="C22" s="665" t="s">
        <v>682</v>
      </c>
      <c r="D22" s="665"/>
      <c r="E22" s="672"/>
      <c r="G22" s="639" t="s">
        <v>679</v>
      </c>
      <c r="H22" s="640" t="s">
        <v>16</v>
      </c>
    </row>
    <row r="23" spans="2:8" ht="15" customHeight="1">
      <c r="B23" s="671" t="s">
        <v>19</v>
      </c>
      <c r="C23" s="627" t="s">
        <v>684</v>
      </c>
      <c r="D23" s="627"/>
      <c r="E23" s="672"/>
      <c r="G23" s="639" t="s">
        <v>17</v>
      </c>
      <c r="H23" s="683" t="s">
        <v>914</v>
      </c>
    </row>
    <row r="24" spans="2:8" ht="15" customHeight="1">
      <c r="B24" s="671" t="s">
        <v>21</v>
      </c>
      <c r="C24" s="627" t="s">
        <v>22</v>
      </c>
      <c r="D24" s="666" t="s">
        <v>23</v>
      </c>
      <c r="E24" s="654" t="s">
        <v>900</v>
      </c>
      <c r="G24" s="641" t="s">
        <v>680</v>
      </c>
      <c r="H24" s="642">
        <v>2018</v>
      </c>
    </row>
    <row r="25" spans="2:8" ht="15" customHeight="1">
      <c r="B25" s="671" t="s">
        <v>24</v>
      </c>
      <c r="C25" s="667" t="s">
        <v>685</v>
      </c>
      <c r="D25" s="668">
        <v>43466</v>
      </c>
      <c r="E25" s="654" t="s">
        <v>900</v>
      </c>
    </row>
    <row r="26" spans="2:8" ht="15" customHeight="1">
      <c r="B26" s="671" t="s">
        <v>686</v>
      </c>
      <c r="C26" s="669" t="s">
        <v>687</v>
      </c>
      <c r="D26" s="668">
        <v>43952</v>
      </c>
      <c r="E26" s="654" t="s">
        <v>900</v>
      </c>
    </row>
    <row r="27" spans="2:8" ht="15" customHeight="1">
      <c r="B27" s="671" t="s">
        <v>25</v>
      </c>
      <c r="C27" s="669" t="s">
        <v>688</v>
      </c>
      <c r="D27" s="668">
        <v>43952</v>
      </c>
      <c r="E27" s="654" t="s">
        <v>900</v>
      </c>
    </row>
    <row r="28" spans="2:8" ht="15" customHeight="1">
      <c r="B28" s="671" t="s">
        <v>916</v>
      </c>
      <c r="C28" s="669" t="s">
        <v>919</v>
      </c>
      <c r="D28" s="668">
        <v>43983</v>
      </c>
      <c r="E28" s="654" t="s">
        <v>900</v>
      </c>
    </row>
    <row r="29" spans="2:8" ht="15" customHeight="1">
      <c r="B29" s="671" t="s">
        <v>917</v>
      </c>
      <c r="C29" s="669" t="s">
        <v>918</v>
      </c>
      <c r="D29" s="668">
        <v>43983</v>
      </c>
      <c r="E29" s="654" t="s">
        <v>900</v>
      </c>
    </row>
    <row r="30" spans="2:8" ht="15">
      <c r="B30" s="671" t="s">
        <v>920</v>
      </c>
      <c r="C30" s="670" t="s">
        <v>652</v>
      </c>
      <c r="D30" s="668">
        <v>43983</v>
      </c>
      <c r="E30" s="654" t="s">
        <v>900</v>
      </c>
    </row>
    <row r="31" spans="2:8" ht="15">
      <c r="B31" s="671" t="s">
        <v>921</v>
      </c>
      <c r="C31" s="669" t="s">
        <v>652</v>
      </c>
      <c r="D31" s="668">
        <v>43983</v>
      </c>
      <c r="E31" s="654" t="s">
        <v>900</v>
      </c>
    </row>
    <row r="32" spans="2:8" ht="15">
      <c r="B32" s="671" t="s">
        <v>923</v>
      </c>
      <c r="C32" s="669" t="s">
        <v>653</v>
      </c>
      <c r="D32" s="668">
        <v>43983</v>
      </c>
      <c r="E32" s="654" t="s">
        <v>900</v>
      </c>
    </row>
    <row r="33" spans="1:8" ht="17.25" customHeight="1">
      <c r="B33" s="671" t="s">
        <v>922</v>
      </c>
      <c r="C33" s="670" t="s">
        <v>651</v>
      </c>
      <c r="D33" s="668">
        <v>43983</v>
      </c>
      <c r="E33" s="654" t="s">
        <v>900</v>
      </c>
    </row>
    <row r="34" spans="1:8" ht="15">
      <c r="B34" s="671" t="s">
        <v>924</v>
      </c>
      <c r="C34" s="670" t="s">
        <v>925</v>
      </c>
      <c r="D34" s="668">
        <v>44044</v>
      </c>
      <c r="E34" s="654" t="s">
        <v>900</v>
      </c>
    </row>
    <row r="35" spans="1:8" ht="15">
      <c r="B35" s="671" t="s">
        <v>927</v>
      </c>
      <c r="C35" s="669" t="s">
        <v>926</v>
      </c>
      <c r="D35" s="668">
        <v>44044</v>
      </c>
      <c r="E35" s="654" t="s">
        <v>900</v>
      </c>
    </row>
    <row r="36" spans="1:8" ht="15.75" thickBot="1">
      <c r="B36" s="673" t="s">
        <v>927</v>
      </c>
      <c r="C36" s="675" t="s">
        <v>926</v>
      </c>
      <c r="D36" s="674">
        <v>44044</v>
      </c>
      <c r="E36" s="658" t="s">
        <v>900</v>
      </c>
    </row>
    <row r="37" spans="1:8" ht="15" thickBot="1"/>
    <row r="38" spans="1:8" ht="19.5" thickBot="1">
      <c r="B38" s="1045" t="s">
        <v>689</v>
      </c>
      <c r="C38" s="1046"/>
      <c r="D38" s="1046"/>
      <c r="E38" s="1047"/>
      <c r="G38" s="1051" t="s">
        <v>683</v>
      </c>
      <c r="H38" s="1052"/>
    </row>
    <row r="39" spans="1:8" ht="15">
      <c r="B39" s="643" t="s">
        <v>690</v>
      </c>
      <c r="C39" s="644" t="s">
        <v>6</v>
      </c>
      <c r="D39" s="623" t="s">
        <v>7</v>
      </c>
      <c r="E39" s="623" t="s">
        <v>898</v>
      </c>
      <c r="G39" s="664" t="s">
        <v>20</v>
      </c>
      <c r="H39" s="664" t="s">
        <v>929</v>
      </c>
    </row>
    <row r="40" spans="1:8" ht="15">
      <c r="B40" s="664" t="s">
        <v>26</v>
      </c>
      <c r="C40" s="665" t="s">
        <v>915</v>
      </c>
      <c r="D40" s="678">
        <v>44166</v>
      </c>
      <c r="E40" s="679" t="s">
        <v>900</v>
      </c>
      <c r="G40" s="627"/>
      <c r="H40" s="627"/>
    </row>
    <row r="41" spans="1:8" ht="15">
      <c r="B41" s="664"/>
      <c r="C41" s="627"/>
      <c r="D41" s="627"/>
      <c r="E41" s="666"/>
      <c r="G41" s="627"/>
      <c r="H41" s="627"/>
    </row>
    <row r="42" spans="1:8" ht="15">
      <c r="A42" s="636"/>
      <c r="B42" s="645"/>
      <c r="C42" s="636"/>
      <c r="D42" s="636"/>
      <c r="E42" s="676"/>
      <c r="F42" s="636"/>
      <c r="G42" s="627"/>
      <c r="H42" s="627"/>
    </row>
    <row r="43" spans="1:8" ht="15">
      <c r="A43" s="636"/>
      <c r="B43" s="645"/>
      <c r="C43" s="677"/>
      <c r="D43" s="677"/>
      <c r="E43" s="659"/>
      <c r="F43" s="636"/>
      <c r="G43" s="627"/>
      <c r="H43" s="627"/>
    </row>
    <row r="44" spans="1:8" ht="15">
      <c r="A44" s="636"/>
      <c r="B44" s="645"/>
      <c r="C44" s="677"/>
      <c r="D44" s="677"/>
      <c r="E44" s="659"/>
      <c r="F44" s="636"/>
      <c r="G44" s="627"/>
      <c r="H44" s="627"/>
    </row>
    <row r="45" spans="1:8">
      <c r="G45" s="627"/>
      <c r="H45" s="62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  <sheetView workbookViewId="1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  <sheetView workbookViewId="1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7" workbookViewId="0">
      <selection activeCell="B21" sqref="B21"/>
    </sheetView>
    <sheetView workbookViewId="1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53" t="s">
        <v>27</v>
      </c>
      <c r="B1" s="1054"/>
      <c r="C1" s="1054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55" t="s">
        <v>29</v>
      </c>
      <c r="B7" s="1056"/>
      <c r="C7" s="1057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55" t="s">
        <v>30</v>
      </c>
      <c r="B28" s="1056"/>
      <c r="C28" s="1057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55" t="s">
        <v>43</v>
      </c>
      <c r="B35" s="1056"/>
      <c r="C35" s="1057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55" t="s">
        <v>51</v>
      </c>
      <c r="B39" s="1056"/>
      <c r="C39" s="1057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55" t="s">
        <v>70</v>
      </c>
      <c r="B49" s="1056"/>
      <c r="C49" s="1057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55" t="s">
        <v>72</v>
      </c>
      <c r="B62" s="1056"/>
      <c r="C62" s="1057"/>
    </row>
    <row r="63" spans="1:3">
      <c r="A63" s="1055" t="s">
        <v>73</v>
      </c>
      <c r="B63" s="1056"/>
      <c r="C63" s="1057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55" t="s">
        <v>80</v>
      </c>
      <c r="B70" s="1056"/>
      <c r="C70" s="1057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55" t="s">
        <v>533</v>
      </c>
      <c r="B76" s="1056"/>
      <c r="C76" s="1057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55" t="s">
        <v>876</v>
      </c>
      <c r="B84" s="1056"/>
      <c r="C84" s="1057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K1" workbookViewId="0">
      <selection activeCell="AM1" sqref="AM1"/>
    </sheetView>
    <sheetView workbookViewId="1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22" t="s">
        <v>967</v>
      </c>
      <c r="B1" s="723" t="s">
        <v>968</v>
      </c>
      <c r="C1" s="991" t="s">
        <v>92</v>
      </c>
      <c r="D1" s="994" t="s">
        <v>93</v>
      </c>
      <c r="E1" s="995" t="s">
        <v>969</v>
      </c>
      <c r="F1" s="996" t="s">
        <v>94</v>
      </c>
      <c r="G1" s="996" t="s">
        <v>95</v>
      </c>
      <c r="H1" s="992" t="s">
        <v>96</v>
      </c>
      <c r="I1" s="994" t="s">
        <v>97</v>
      </c>
      <c r="J1" s="995" t="s">
        <v>98</v>
      </c>
      <c r="K1" s="995" t="s">
        <v>99</v>
      </c>
      <c r="L1" s="992" t="s">
        <v>100</v>
      </c>
      <c r="M1" s="994" t="s">
        <v>101</v>
      </c>
      <c r="N1" s="994" t="s">
        <v>970</v>
      </c>
      <c r="O1" s="995" t="s">
        <v>102</v>
      </c>
      <c r="P1" s="995" t="s">
        <v>103</v>
      </c>
      <c r="Q1" s="995" t="s">
        <v>104</v>
      </c>
      <c r="R1" s="995" t="s">
        <v>105</v>
      </c>
      <c r="S1" s="995" t="s">
        <v>106</v>
      </c>
      <c r="T1" s="995" t="s">
        <v>107</v>
      </c>
      <c r="U1" s="995" t="s">
        <v>108</v>
      </c>
      <c r="V1" s="995" t="s">
        <v>109</v>
      </c>
      <c r="W1" s="996" t="s">
        <v>110</v>
      </c>
      <c r="X1" s="996" t="s">
        <v>111</v>
      </c>
      <c r="Y1" s="996" t="s">
        <v>112</v>
      </c>
      <c r="Z1" s="995" t="s">
        <v>113</v>
      </c>
      <c r="AA1" s="992" t="s">
        <v>114</v>
      </c>
      <c r="AB1" s="993" t="s">
        <v>115</v>
      </c>
      <c r="AC1" s="997" t="s">
        <v>116</v>
      </c>
      <c r="AD1" s="995" t="s">
        <v>117</v>
      </c>
      <c r="AE1" s="995" t="s">
        <v>971</v>
      </c>
      <c r="AF1" s="995" t="s">
        <v>972</v>
      </c>
      <c r="AG1" s="995" t="s">
        <v>118</v>
      </c>
      <c r="AH1" s="995" t="s">
        <v>119</v>
      </c>
      <c r="AI1" s="995" t="s">
        <v>973</v>
      </c>
      <c r="AJ1" s="995" t="s">
        <v>974</v>
      </c>
      <c r="AK1" s="995" t="s">
        <v>975</v>
      </c>
      <c r="AL1" s="995" t="s">
        <v>976</v>
      </c>
      <c r="AM1" s="996" t="s">
        <v>977</v>
      </c>
      <c r="AN1" s="992" t="s">
        <v>120</v>
      </c>
      <c r="AO1" s="992" t="s">
        <v>121</v>
      </c>
      <c r="AP1" s="993" t="s">
        <v>122</v>
      </c>
      <c r="AQ1" s="724" t="s">
        <v>123</v>
      </c>
      <c r="AS1" s="2"/>
    </row>
    <row r="2" spans="1:45" s="3" customFormat="1" ht="12.75" customHeight="1">
      <c r="A2" s="725" t="s">
        <v>124</v>
      </c>
      <c r="B2" s="726"/>
      <c r="C2" s="727">
        <f>SUM(D2:G2)</f>
        <v>0</v>
      </c>
      <c r="D2" s="728">
        <v>0</v>
      </c>
      <c r="E2" s="729"/>
      <c r="F2" s="730"/>
      <c r="G2" s="730"/>
      <c r="H2" s="731">
        <f>SUM(I2:K2)</f>
        <v>815.92434898628403</v>
      </c>
      <c r="I2" s="732">
        <v>688.22034898628408</v>
      </c>
      <c r="J2" s="733">
        <v>127.70399999999999</v>
      </c>
      <c r="K2" s="733"/>
      <c r="L2" s="731">
        <f>SUM(M2:Z2)</f>
        <v>0</v>
      </c>
      <c r="M2" s="732"/>
      <c r="N2" s="734"/>
      <c r="O2" s="735"/>
      <c r="P2" s="735"/>
      <c r="Q2" s="735"/>
      <c r="R2" s="735"/>
      <c r="S2" s="735"/>
      <c r="T2" s="735"/>
      <c r="U2" s="735"/>
      <c r="V2" s="735"/>
      <c r="W2" s="730"/>
      <c r="X2" s="730"/>
      <c r="Y2" s="730"/>
      <c r="Z2" s="733"/>
      <c r="AA2" s="731">
        <v>2751.9191872187112</v>
      </c>
      <c r="AB2" s="736">
        <f>SUM(AC2:AM2)</f>
        <v>1331.2863828445347</v>
      </c>
      <c r="AC2" s="737">
        <v>59.691708987970003</v>
      </c>
      <c r="AD2" s="733">
        <v>743.01992281532614</v>
      </c>
      <c r="AE2" s="733">
        <v>249.68174480509879</v>
      </c>
      <c r="AF2" s="733">
        <v>139.99992739520798</v>
      </c>
      <c r="AG2" s="733">
        <v>33.531818868055431</v>
      </c>
      <c r="AH2" s="733">
        <v>16.813132576534866</v>
      </c>
      <c r="AI2" s="733">
        <v>27.095124147648001</v>
      </c>
      <c r="AJ2" s="733">
        <v>2.6691993220799999</v>
      </c>
      <c r="AK2" s="732">
        <v>1.4323955643044282</v>
      </c>
      <c r="AL2" s="732">
        <v>13.54608560366562</v>
      </c>
      <c r="AM2" s="730">
        <v>43.805322758643676</v>
      </c>
      <c r="AN2" s="738">
        <v>145.43710297949829</v>
      </c>
      <c r="AO2" s="738"/>
      <c r="AP2" s="736"/>
      <c r="AQ2" s="739">
        <f>C2+H2+L2+AA2+AB2+AN2+AO2+AP2</f>
        <v>5044.5670220290285</v>
      </c>
      <c r="AS2" s="4"/>
    </row>
    <row r="3" spans="1:45" s="3" customFormat="1" ht="12.75" customHeight="1">
      <c r="A3" s="740" t="s">
        <v>125</v>
      </c>
      <c r="B3" s="741"/>
      <c r="C3" s="742">
        <f>SUM(D3:G3)</f>
        <v>935.78934491090115</v>
      </c>
      <c r="D3" s="743">
        <v>802.24865041659757</v>
      </c>
      <c r="E3" s="744">
        <v>125.38500136039437</v>
      </c>
      <c r="F3" s="745"/>
      <c r="G3" s="745">
        <v>8.1556931339092724</v>
      </c>
      <c r="H3" s="746">
        <f>SUM(I3:K3)</f>
        <v>0</v>
      </c>
      <c r="I3" s="747"/>
      <c r="J3" s="748"/>
      <c r="K3" s="748"/>
      <c r="L3" s="746">
        <f>SUM(M3:Z3)</f>
        <v>9146.774069288922</v>
      </c>
      <c r="M3" s="747">
        <v>3053.4742963851995</v>
      </c>
      <c r="N3" s="747">
        <v>16.633377499200002</v>
      </c>
      <c r="O3" s="748">
        <v>0</v>
      </c>
      <c r="P3" s="748">
        <v>564.2282843555555</v>
      </c>
      <c r="Q3" s="748">
        <v>369.55541863968</v>
      </c>
      <c r="R3" s="748">
        <v>1543.1782335883197</v>
      </c>
      <c r="S3" s="748">
        <v>82.827948630790956</v>
      </c>
      <c r="T3" s="748">
        <v>157.5463640726893</v>
      </c>
      <c r="U3" s="748">
        <v>2941.4703035056637</v>
      </c>
      <c r="V3" s="748">
        <v>164.48328641762765</v>
      </c>
      <c r="W3" s="745">
        <v>7.5616539426795564</v>
      </c>
      <c r="X3" s="745">
        <v>200.83222211696253</v>
      </c>
      <c r="Y3" s="745">
        <v>1.2281470084248403</v>
      </c>
      <c r="Z3" s="748">
        <v>43.754533126130625</v>
      </c>
      <c r="AA3" s="746">
        <v>1728.338063506957</v>
      </c>
      <c r="AB3" s="749">
        <f>SUM(AC3:AM3)</f>
        <v>150.18873559012798</v>
      </c>
      <c r="AC3" s="750"/>
      <c r="AD3" s="748"/>
      <c r="AE3" s="748">
        <v>23.169037781663999</v>
      </c>
      <c r="AF3" s="748"/>
      <c r="AG3" s="748"/>
      <c r="AH3" s="748"/>
      <c r="AI3" s="748">
        <v>104.16969909062398</v>
      </c>
      <c r="AJ3" s="748">
        <v>22.849998717839998</v>
      </c>
      <c r="AK3" s="747"/>
      <c r="AL3" s="747"/>
      <c r="AM3" s="745"/>
      <c r="AN3" s="751"/>
      <c r="AO3" s="751">
        <v>139.45061680000001</v>
      </c>
      <c r="AP3" s="749"/>
      <c r="AQ3" s="752">
        <f t="shared" ref="AQ3:AQ20" si="0">C3+H3+L3+AA3+AB3+AN3+AO3+AP3</f>
        <v>12100.540830096908</v>
      </c>
      <c r="AS3" s="4"/>
    </row>
    <row r="4" spans="1:45" s="3" customFormat="1" ht="12.75" customHeight="1">
      <c r="A4" s="740" t="s">
        <v>126</v>
      </c>
      <c r="B4" s="741"/>
      <c r="C4" s="742">
        <f>SUM(D4:G4)</f>
        <v>15.186580890896002</v>
      </c>
      <c r="D4" s="743">
        <v>0</v>
      </c>
      <c r="E4" s="753">
        <v>14.097722162000002</v>
      </c>
      <c r="F4" s="745"/>
      <c r="G4" s="745">
        <v>1.0888587288959999</v>
      </c>
      <c r="H4" s="746">
        <f>SUM(I4:K4)</f>
        <v>7.0330680000000001</v>
      </c>
      <c r="I4" s="747"/>
      <c r="J4" s="748"/>
      <c r="K4" s="748">
        <v>7.0330680000000001</v>
      </c>
      <c r="L4" s="746">
        <f>SUM(M4:Z4)</f>
        <v>1717.0624747879344</v>
      </c>
      <c r="M4" s="747">
        <v>0</v>
      </c>
      <c r="N4" s="747">
        <v>0</v>
      </c>
      <c r="O4" s="748"/>
      <c r="P4" s="748">
        <v>364.52221864444448</v>
      </c>
      <c r="Q4" s="748">
        <v>21.672508399360005</v>
      </c>
      <c r="R4" s="748">
        <v>156.29379915984001</v>
      </c>
      <c r="S4" s="748">
        <v>986.60611760112999</v>
      </c>
      <c r="T4" s="748">
        <v>35.289733288720633</v>
      </c>
      <c r="U4" s="748">
        <v>102.14625414775992</v>
      </c>
      <c r="V4" s="748">
        <v>2.9088437938490893E-3</v>
      </c>
      <c r="W4" s="745">
        <v>36.297317128453038</v>
      </c>
      <c r="X4" s="745">
        <v>5.4694689952000006</v>
      </c>
      <c r="Y4" s="745">
        <v>1.8500297569930473E-2</v>
      </c>
      <c r="Z4" s="748">
        <v>8.7436482816626366</v>
      </c>
      <c r="AA4" s="746">
        <v>0</v>
      </c>
      <c r="AB4" s="749">
        <f>SUM(AC4:AM4)</f>
        <v>9.4476585178560004</v>
      </c>
      <c r="AC4" s="750"/>
      <c r="AD4" s="748"/>
      <c r="AE4" s="748">
        <v>0.41264639999999991</v>
      </c>
      <c r="AF4" s="748"/>
      <c r="AG4" s="748"/>
      <c r="AH4" s="748"/>
      <c r="AI4" s="748">
        <v>9.0350121178560006</v>
      </c>
      <c r="AJ4" s="748">
        <v>0</v>
      </c>
      <c r="AK4" s="747"/>
      <c r="AL4" s="747"/>
      <c r="AM4" s="745"/>
      <c r="AN4" s="751"/>
      <c r="AO4" s="751">
        <v>141.83539077999998</v>
      </c>
      <c r="AP4" s="749"/>
      <c r="AQ4" s="752">
        <f t="shared" si="0"/>
        <v>1890.5651729766864</v>
      </c>
      <c r="AS4" s="4"/>
    </row>
    <row r="5" spans="1:45" s="3" customFormat="1" ht="12.75" customHeight="1">
      <c r="A5" s="740" t="s">
        <v>127</v>
      </c>
      <c r="B5" s="741"/>
      <c r="C5" s="742">
        <f>SUM(D5:G5)</f>
        <v>0</v>
      </c>
      <c r="D5" s="743"/>
      <c r="E5" s="753"/>
      <c r="F5" s="745"/>
      <c r="G5" s="745"/>
      <c r="H5" s="746">
        <f>SUM(I5:K5)</f>
        <v>0</v>
      </c>
      <c r="I5" s="747"/>
      <c r="J5" s="748"/>
      <c r="K5" s="748"/>
      <c r="L5" s="746">
        <f>SUM(M5:Z5)</f>
        <v>162.14899063248015</v>
      </c>
      <c r="M5" s="747"/>
      <c r="N5" s="747"/>
      <c r="O5" s="748"/>
      <c r="P5" s="748"/>
      <c r="Q5" s="748"/>
      <c r="R5" s="748"/>
      <c r="S5" s="748">
        <v>15.730078096892656</v>
      </c>
      <c r="T5" s="748"/>
      <c r="U5" s="748">
        <v>146.41891253558748</v>
      </c>
      <c r="V5" s="748"/>
      <c r="W5" s="745"/>
      <c r="X5" s="745"/>
      <c r="Y5" s="745"/>
      <c r="Z5" s="748"/>
      <c r="AA5" s="746"/>
      <c r="AB5" s="749">
        <f>SUM(AC5:AM5)</f>
        <v>0</v>
      </c>
      <c r="AC5" s="750"/>
      <c r="AD5" s="748"/>
      <c r="AE5" s="748"/>
      <c r="AF5" s="748"/>
      <c r="AG5" s="748"/>
      <c r="AH5" s="748"/>
      <c r="AI5" s="748"/>
      <c r="AJ5" s="748"/>
      <c r="AK5" s="747"/>
      <c r="AL5" s="747"/>
      <c r="AM5" s="745"/>
      <c r="AN5" s="751"/>
      <c r="AO5" s="751"/>
      <c r="AP5" s="749"/>
      <c r="AQ5" s="752">
        <f t="shared" si="0"/>
        <v>162.14899063248015</v>
      </c>
      <c r="AS5" s="4"/>
    </row>
    <row r="6" spans="1:45" s="3" customFormat="1" ht="12.75" customHeight="1" thickBot="1">
      <c r="A6" s="754" t="s">
        <v>128</v>
      </c>
      <c r="B6" s="755"/>
      <c r="C6" s="742">
        <f>SUM(D6:G6)</f>
        <v>-105.50045932171129</v>
      </c>
      <c r="D6" s="756">
        <v>-106.11399866466098</v>
      </c>
      <c r="E6" s="745">
        <v>-0.8079766727235479</v>
      </c>
      <c r="F6" s="757"/>
      <c r="G6" s="757">
        <v>1.4215160156732278</v>
      </c>
      <c r="H6" s="758">
        <f>SUM(I6:K6)</f>
        <v>-122.93905189963694</v>
      </c>
      <c r="I6" s="759">
        <v>-136.53826589963694</v>
      </c>
      <c r="J6" s="759">
        <v>0</v>
      </c>
      <c r="K6" s="759">
        <v>13.599214000000003</v>
      </c>
      <c r="L6" s="758">
        <f>SUM(M6:Z6)</f>
        <v>151.33981188504902</v>
      </c>
      <c r="M6" s="747">
        <v>38.730964773999993</v>
      </c>
      <c r="N6" s="747">
        <v>-8.8751519999999999</v>
      </c>
      <c r="O6" s="748"/>
      <c r="P6" s="748">
        <v>-9.6980083333333713</v>
      </c>
      <c r="Q6" s="748">
        <v>12.883201938880001</v>
      </c>
      <c r="R6" s="748">
        <v>82.12024884504001</v>
      </c>
      <c r="S6" s="748">
        <v>23.637599999999999</v>
      </c>
      <c r="T6" s="748">
        <v>1.4659197380156652</v>
      </c>
      <c r="U6" s="748">
        <v>8.3874136006762399</v>
      </c>
      <c r="V6" s="748">
        <v>3.2040911090633046</v>
      </c>
      <c r="W6" s="757">
        <v>-0.51646778729281662</v>
      </c>
      <c r="X6" s="757">
        <v>0</v>
      </c>
      <c r="Y6" s="757">
        <v>0</v>
      </c>
      <c r="Z6" s="759">
        <v>0</v>
      </c>
      <c r="AA6" s="758">
        <v>0</v>
      </c>
      <c r="AB6" s="760">
        <f>SUM(AC6:AM6)</f>
        <v>4.4601014379600006</v>
      </c>
      <c r="AC6" s="761"/>
      <c r="AD6" s="762"/>
      <c r="AE6" s="762">
        <v>0.26707427819999968</v>
      </c>
      <c r="AF6" s="762"/>
      <c r="AG6" s="762"/>
      <c r="AH6" s="762"/>
      <c r="AI6" s="762">
        <v>1.7828522013120007</v>
      </c>
      <c r="AJ6" s="762">
        <v>2.4101749584479997</v>
      </c>
      <c r="AK6" s="759"/>
      <c r="AL6" s="759"/>
      <c r="AM6" s="757"/>
      <c r="AN6" s="763"/>
      <c r="AO6" s="763"/>
      <c r="AP6" s="760"/>
      <c r="AQ6" s="764">
        <f t="shared" si="0"/>
        <v>-72.639597898339204</v>
      </c>
      <c r="AS6" s="4"/>
    </row>
    <row r="7" spans="1:45" s="6" customFormat="1" ht="12.75" customHeight="1">
      <c r="A7" s="765" t="s">
        <v>129</v>
      </c>
      <c r="B7" s="766"/>
      <c r="C7" s="767">
        <f t="shared" ref="C7:AP7" si="1">C2+C3-C4-C5+C6</f>
        <v>815.10230469829378</v>
      </c>
      <c r="D7" s="768">
        <f t="shared" si="1"/>
        <v>696.13465175193664</v>
      </c>
      <c r="E7" s="769">
        <f t="shared" si="1"/>
        <v>110.47930252567083</v>
      </c>
      <c r="F7" s="769">
        <f t="shared" si="1"/>
        <v>0</v>
      </c>
      <c r="G7" s="769">
        <f t="shared" si="1"/>
        <v>8.4883504206865013</v>
      </c>
      <c r="H7" s="770">
        <f t="shared" si="1"/>
        <v>685.95222908664709</v>
      </c>
      <c r="I7" s="768">
        <f t="shared" si="1"/>
        <v>551.68208308664714</v>
      </c>
      <c r="J7" s="769">
        <f t="shared" si="1"/>
        <v>127.70399999999999</v>
      </c>
      <c r="K7" s="769">
        <f t="shared" si="1"/>
        <v>6.5661460000000034</v>
      </c>
      <c r="L7" s="770">
        <f t="shared" si="1"/>
        <v>7418.9024157535559</v>
      </c>
      <c r="M7" s="768">
        <f t="shared" si="1"/>
        <v>3092.2052611591994</v>
      </c>
      <c r="N7" s="768">
        <f t="shared" si="1"/>
        <v>7.7582254992000017</v>
      </c>
      <c r="O7" s="769">
        <f t="shared" si="1"/>
        <v>0</v>
      </c>
      <c r="P7" s="769">
        <f t="shared" si="1"/>
        <v>190.00805737777765</v>
      </c>
      <c r="Q7" s="769">
        <f t="shared" si="1"/>
        <v>360.76611217919998</v>
      </c>
      <c r="R7" s="769">
        <f t="shared" si="1"/>
        <v>1469.0046832735197</v>
      </c>
      <c r="S7" s="769">
        <f t="shared" si="1"/>
        <v>-895.87064706723163</v>
      </c>
      <c r="T7" s="769">
        <f t="shared" si="1"/>
        <v>123.72255052198433</v>
      </c>
      <c r="U7" s="769">
        <f t="shared" si="1"/>
        <v>2701.2925504229925</v>
      </c>
      <c r="V7" s="769">
        <f t="shared" si="1"/>
        <v>167.68446868289712</v>
      </c>
      <c r="W7" s="769">
        <f t="shared" si="1"/>
        <v>-29.252130973066301</v>
      </c>
      <c r="X7" s="769">
        <f t="shared" si="1"/>
        <v>195.36275312176252</v>
      </c>
      <c r="Y7" s="769">
        <f t="shared" si="1"/>
        <v>1.2096467108549098</v>
      </c>
      <c r="Z7" s="769">
        <f t="shared" si="1"/>
        <v>35.010884844467988</v>
      </c>
      <c r="AA7" s="770">
        <f t="shared" si="1"/>
        <v>4480.2572507256682</v>
      </c>
      <c r="AB7" s="770">
        <f t="shared" si="1"/>
        <v>1476.4875613547667</v>
      </c>
      <c r="AC7" s="768">
        <f t="shared" si="1"/>
        <v>59.691708987970003</v>
      </c>
      <c r="AD7" s="769">
        <f t="shared" si="1"/>
        <v>743.01992281532614</v>
      </c>
      <c r="AE7" s="769">
        <f t="shared" si="1"/>
        <v>272.70521046496276</v>
      </c>
      <c r="AF7" s="769">
        <f t="shared" si="1"/>
        <v>139.99992739520798</v>
      </c>
      <c r="AG7" s="769">
        <f t="shared" si="1"/>
        <v>33.531818868055431</v>
      </c>
      <c r="AH7" s="769">
        <f t="shared" si="1"/>
        <v>16.813132576534866</v>
      </c>
      <c r="AI7" s="769">
        <f t="shared" si="1"/>
        <v>124.01266332172798</v>
      </c>
      <c r="AJ7" s="769">
        <f t="shared" si="1"/>
        <v>27.929372998367999</v>
      </c>
      <c r="AK7" s="771">
        <f t="shared" si="1"/>
        <v>1.4323955643044282</v>
      </c>
      <c r="AL7" s="771">
        <f t="shared" si="1"/>
        <v>13.54608560366562</v>
      </c>
      <c r="AM7" s="768">
        <f t="shared" si="1"/>
        <v>43.805322758643676</v>
      </c>
      <c r="AN7" s="770">
        <f t="shared" si="1"/>
        <v>145.43710297949829</v>
      </c>
      <c r="AO7" s="770">
        <f t="shared" si="1"/>
        <v>-2.3847739799999772</v>
      </c>
      <c r="AP7" s="772">
        <f t="shared" si="1"/>
        <v>0</v>
      </c>
      <c r="AQ7" s="773">
        <f t="shared" si="0"/>
        <v>15019.754090618429</v>
      </c>
      <c r="AR7" s="3"/>
      <c r="AS7" s="5"/>
    </row>
    <row r="8" spans="1:45" s="6" customFormat="1" ht="12.75" customHeight="1" thickBot="1">
      <c r="A8" s="774" t="s">
        <v>130</v>
      </c>
      <c r="B8" s="775"/>
      <c r="C8" s="776">
        <f t="shared" ref="C8:AP8" si="2">C7-C27</f>
        <v>815.10230469829378</v>
      </c>
      <c r="D8" s="777">
        <f t="shared" si="2"/>
        <v>696.13465175193664</v>
      </c>
      <c r="E8" s="778">
        <f t="shared" si="2"/>
        <v>110.47930252567083</v>
      </c>
      <c r="F8" s="779">
        <f t="shared" si="2"/>
        <v>0</v>
      </c>
      <c r="G8" s="779">
        <f t="shared" si="2"/>
        <v>8.4883504206865013</v>
      </c>
      <c r="H8" s="780">
        <f t="shared" si="2"/>
        <v>685.95222908664709</v>
      </c>
      <c r="I8" s="777">
        <f t="shared" si="2"/>
        <v>551.68208308664714</v>
      </c>
      <c r="J8" s="778">
        <f t="shared" si="2"/>
        <v>127.70399999999999</v>
      </c>
      <c r="K8" s="778">
        <f t="shared" si="2"/>
        <v>6.5661460000000034</v>
      </c>
      <c r="L8" s="780">
        <f t="shared" si="2"/>
        <v>7187.3191310764705</v>
      </c>
      <c r="M8" s="777">
        <f t="shared" si="2"/>
        <v>3092.2052611591994</v>
      </c>
      <c r="N8" s="777">
        <f t="shared" si="2"/>
        <v>7.7582254992000017</v>
      </c>
      <c r="O8" s="778">
        <f t="shared" si="2"/>
        <v>0</v>
      </c>
      <c r="P8" s="778">
        <f t="shared" si="2"/>
        <v>190.00805737777765</v>
      </c>
      <c r="Q8" s="778">
        <f t="shared" si="2"/>
        <v>360.76611217919998</v>
      </c>
      <c r="R8" s="778">
        <f t="shared" si="2"/>
        <v>1469.0046832735197</v>
      </c>
      <c r="S8" s="778">
        <f t="shared" si="2"/>
        <v>-895.87064706723163</v>
      </c>
      <c r="T8" s="778">
        <f t="shared" si="2"/>
        <v>123.72255052198433</v>
      </c>
      <c r="U8" s="778">
        <f t="shared" si="2"/>
        <v>2701.2925504229925</v>
      </c>
      <c r="V8" s="778">
        <f t="shared" si="2"/>
        <v>167.68446868289712</v>
      </c>
      <c r="W8" s="779">
        <f t="shared" si="2"/>
        <v>-29.252130973066301</v>
      </c>
      <c r="X8" s="779">
        <f t="shared" si="2"/>
        <v>0</v>
      </c>
      <c r="Y8" s="779">
        <f t="shared" si="2"/>
        <v>0</v>
      </c>
      <c r="Z8" s="778">
        <f t="shared" si="2"/>
        <v>0</v>
      </c>
      <c r="AA8" s="780">
        <f t="shared" si="2"/>
        <v>4480.2572507256682</v>
      </c>
      <c r="AB8" s="781">
        <f t="shared" si="2"/>
        <v>1476.4875613547667</v>
      </c>
      <c r="AC8" s="777">
        <f t="shared" si="2"/>
        <v>59.691708987970003</v>
      </c>
      <c r="AD8" s="778">
        <f t="shared" si="2"/>
        <v>743.01992281532614</v>
      </c>
      <c r="AE8" s="778">
        <f t="shared" si="2"/>
        <v>272.70521046496276</v>
      </c>
      <c r="AF8" s="778">
        <f t="shared" si="2"/>
        <v>139.99992739520798</v>
      </c>
      <c r="AG8" s="778">
        <f t="shared" si="2"/>
        <v>33.531818868055431</v>
      </c>
      <c r="AH8" s="778">
        <f t="shared" si="2"/>
        <v>16.813132576534866</v>
      </c>
      <c r="AI8" s="778">
        <f t="shared" si="2"/>
        <v>124.01266332172798</v>
      </c>
      <c r="AJ8" s="778">
        <f t="shared" si="2"/>
        <v>27.929372998367999</v>
      </c>
      <c r="AK8" s="782">
        <f t="shared" si="2"/>
        <v>1.4323955643044282</v>
      </c>
      <c r="AL8" s="782">
        <f t="shared" si="2"/>
        <v>13.54608560366562</v>
      </c>
      <c r="AM8" s="777">
        <f t="shared" si="2"/>
        <v>43.805322758643676</v>
      </c>
      <c r="AN8" s="780">
        <f t="shared" si="2"/>
        <v>145.43710297949829</v>
      </c>
      <c r="AO8" s="780">
        <f t="shared" si="2"/>
        <v>-2.3847739799999772</v>
      </c>
      <c r="AP8" s="777">
        <f t="shared" si="2"/>
        <v>0</v>
      </c>
      <c r="AQ8" s="783">
        <f t="shared" si="0"/>
        <v>14788.170805941343</v>
      </c>
      <c r="AR8" s="3"/>
      <c r="AS8" s="5"/>
    </row>
    <row r="9" spans="1:45" s="6" customFormat="1" ht="12.75" customHeight="1">
      <c r="A9" s="765" t="s">
        <v>131</v>
      </c>
      <c r="B9" s="766"/>
      <c r="C9" s="767">
        <f t="shared" ref="C9:AP9" si="3">SUM(C10:C14)</f>
        <v>488.64939432989598</v>
      </c>
      <c r="D9" s="771">
        <f t="shared" si="3"/>
        <v>488.64939432989598</v>
      </c>
      <c r="E9" s="769">
        <f t="shared" si="3"/>
        <v>0</v>
      </c>
      <c r="F9" s="784">
        <f t="shared" si="3"/>
        <v>0</v>
      </c>
      <c r="G9" s="784">
        <f t="shared" si="3"/>
        <v>0</v>
      </c>
      <c r="H9" s="770">
        <f t="shared" si="3"/>
        <v>541.02658367795425</v>
      </c>
      <c r="I9" s="771">
        <f t="shared" si="3"/>
        <v>541.02658367795425</v>
      </c>
      <c r="J9" s="769">
        <f t="shared" si="3"/>
        <v>0</v>
      </c>
      <c r="K9" s="769">
        <f t="shared" si="3"/>
        <v>0</v>
      </c>
      <c r="L9" s="770">
        <f t="shared" si="3"/>
        <v>3165.7216476484605</v>
      </c>
      <c r="M9" s="769">
        <f t="shared" si="3"/>
        <v>3092.2052611591994</v>
      </c>
      <c r="N9" s="769">
        <f t="shared" ref="N9" si="4">SUM(N10:N14)</f>
        <v>38.786602361842682</v>
      </c>
      <c r="O9" s="769">
        <f t="shared" si="3"/>
        <v>0</v>
      </c>
      <c r="P9" s="769">
        <f t="shared" si="3"/>
        <v>0</v>
      </c>
      <c r="Q9" s="769">
        <f t="shared" si="3"/>
        <v>0</v>
      </c>
      <c r="R9" s="769">
        <f t="shared" si="3"/>
        <v>0</v>
      </c>
      <c r="S9" s="769">
        <f t="shared" si="3"/>
        <v>25.868327226603597</v>
      </c>
      <c r="T9" s="769">
        <f t="shared" si="3"/>
        <v>0.63499472294399995</v>
      </c>
      <c r="U9" s="769">
        <f t="shared" si="3"/>
        <v>8.2264621778709284</v>
      </c>
      <c r="V9" s="769">
        <f t="shared" si="3"/>
        <v>0</v>
      </c>
      <c r="W9" s="784">
        <f t="shared" si="3"/>
        <v>0</v>
      </c>
      <c r="X9" s="784">
        <f t="shared" si="3"/>
        <v>0</v>
      </c>
      <c r="Y9" s="784">
        <f t="shared" si="3"/>
        <v>0</v>
      </c>
      <c r="Z9" s="769">
        <f t="shared" si="3"/>
        <v>0</v>
      </c>
      <c r="AA9" s="770">
        <f t="shared" si="3"/>
        <v>2501.2994242635782</v>
      </c>
      <c r="AB9" s="768">
        <f t="shared" si="3"/>
        <v>215.90352917717644</v>
      </c>
      <c r="AC9" s="785">
        <f t="shared" si="3"/>
        <v>0</v>
      </c>
      <c r="AD9" s="769">
        <f t="shared" si="3"/>
        <v>0</v>
      </c>
      <c r="AE9" s="769">
        <f t="shared" si="3"/>
        <v>76.028615684916531</v>
      </c>
      <c r="AF9" s="769">
        <f t="shared" ref="AF9" si="5">SUM(AF10:AF14)</f>
        <v>99.30702317107577</v>
      </c>
      <c r="AG9" s="769">
        <f t="shared" si="3"/>
        <v>33.531818868055431</v>
      </c>
      <c r="AH9" s="769">
        <f t="shared" si="3"/>
        <v>7.0360714531287174</v>
      </c>
      <c r="AI9" s="769">
        <f t="shared" si="3"/>
        <v>0</v>
      </c>
      <c r="AJ9" s="769">
        <f t="shared" ref="AJ9" si="6">SUM(AJ10:AJ14)</f>
        <v>0</v>
      </c>
      <c r="AK9" s="771">
        <f t="shared" si="3"/>
        <v>0</v>
      </c>
      <c r="AL9" s="771">
        <f t="shared" ref="AL9" si="7">SUM(AL10:AL14)</f>
        <v>0</v>
      </c>
      <c r="AM9" s="784">
        <f t="shared" si="3"/>
        <v>0</v>
      </c>
      <c r="AN9" s="770">
        <f t="shared" si="3"/>
        <v>90.714163374524205</v>
      </c>
      <c r="AO9" s="770">
        <f t="shared" si="3"/>
        <v>54.38453208</v>
      </c>
      <c r="AP9" s="768">
        <f t="shared" si="3"/>
        <v>0</v>
      </c>
      <c r="AQ9" s="786">
        <f t="shared" si="0"/>
        <v>7057.699274551589</v>
      </c>
      <c r="AR9" s="3"/>
      <c r="AS9" s="5"/>
    </row>
    <row r="10" spans="1:45" s="3" customFormat="1" ht="12.75" customHeight="1">
      <c r="A10" s="787" t="s">
        <v>132</v>
      </c>
      <c r="B10" s="788"/>
      <c r="C10" s="789">
        <f>SUM(D10:G10)</f>
        <v>488.64939432989598</v>
      </c>
      <c r="D10" s="790">
        <v>488.64939432989598</v>
      </c>
      <c r="E10" s="791"/>
      <c r="F10" s="792"/>
      <c r="G10" s="792"/>
      <c r="H10" s="793">
        <f>SUM(I10:K10)</f>
        <v>467.10845991760607</v>
      </c>
      <c r="I10" s="790">
        <v>467.10845991760607</v>
      </c>
      <c r="J10" s="791">
        <v>0</v>
      </c>
      <c r="K10" s="791"/>
      <c r="L10" s="793">
        <f>SUM(M10:Z10)</f>
        <v>34.094789404474525</v>
      </c>
      <c r="M10" s="791"/>
      <c r="N10" s="791"/>
      <c r="O10" s="791"/>
      <c r="P10" s="791"/>
      <c r="Q10" s="791"/>
      <c r="R10" s="791"/>
      <c r="S10" s="791">
        <v>25.868327226603597</v>
      </c>
      <c r="T10" s="791"/>
      <c r="U10" s="791">
        <v>8.2264621778709284</v>
      </c>
      <c r="V10" s="791"/>
      <c r="W10" s="792"/>
      <c r="X10" s="792"/>
      <c r="Y10" s="792"/>
      <c r="Z10" s="791"/>
      <c r="AA10" s="793">
        <v>2187.6033883210698</v>
      </c>
      <c r="AB10" s="794">
        <f>SUM(AC10:AM10)</f>
        <v>205.30590173319058</v>
      </c>
      <c r="AC10" s="795"/>
      <c r="AD10" s="791"/>
      <c r="AE10" s="791">
        <v>72.467059694059387</v>
      </c>
      <c r="AF10" s="791">
        <v>99.30702317107577</v>
      </c>
      <c r="AG10" s="791">
        <v>33.531818868055431</v>
      </c>
      <c r="AH10" s="791"/>
      <c r="AI10" s="791"/>
      <c r="AJ10" s="791"/>
      <c r="AK10" s="790"/>
      <c r="AL10" s="790"/>
      <c r="AM10" s="792"/>
      <c r="AN10" s="796">
        <v>90.714163374524205</v>
      </c>
      <c r="AO10" s="793"/>
      <c r="AP10" s="794"/>
      <c r="AQ10" s="797">
        <f t="shared" si="0"/>
        <v>3473.4760970807611</v>
      </c>
      <c r="AS10" s="4"/>
    </row>
    <row r="11" spans="1:45" s="3" customFormat="1" ht="12.75" customHeight="1">
      <c r="A11" s="740" t="s">
        <v>133</v>
      </c>
      <c r="B11" s="741"/>
      <c r="C11" s="742">
        <f>SUM(D11:G11)</f>
        <v>0</v>
      </c>
      <c r="D11" s="747">
        <v>0</v>
      </c>
      <c r="E11" s="748"/>
      <c r="F11" s="745"/>
      <c r="G11" s="745"/>
      <c r="H11" s="746">
        <f>SUM(I11:K11)</f>
        <v>5.8425469182429177</v>
      </c>
      <c r="I11" s="747">
        <v>5.8425469182429177</v>
      </c>
      <c r="J11" s="748"/>
      <c r="K11" s="748"/>
      <c r="L11" s="746">
        <f>SUM(M11:Z11)</f>
        <v>0.63499472294399995</v>
      </c>
      <c r="M11" s="748"/>
      <c r="N11" s="798"/>
      <c r="O11" s="798">
        <v>0</v>
      </c>
      <c r="P11" s="748"/>
      <c r="Q11" s="748"/>
      <c r="R11" s="748"/>
      <c r="S11" s="748">
        <v>0</v>
      </c>
      <c r="T11" s="748">
        <v>0.63499472294399995</v>
      </c>
      <c r="U11" s="748">
        <v>0</v>
      </c>
      <c r="V11" s="748"/>
      <c r="W11" s="745"/>
      <c r="X11" s="745"/>
      <c r="Y11" s="745"/>
      <c r="Z11" s="748"/>
      <c r="AA11" s="746">
        <v>272.96145103491432</v>
      </c>
      <c r="AB11" s="749">
        <f>SUM(AC11:AM11)</f>
        <v>10.597627443985861</v>
      </c>
      <c r="AC11" s="750"/>
      <c r="AD11" s="748"/>
      <c r="AE11" s="748">
        <v>3.5615559908571428</v>
      </c>
      <c r="AF11" s="748"/>
      <c r="AG11" s="748"/>
      <c r="AH11" s="748">
        <v>7.0360714531287174</v>
      </c>
      <c r="AI11" s="748"/>
      <c r="AJ11" s="748"/>
      <c r="AK11" s="747"/>
      <c r="AL11" s="747"/>
      <c r="AM11" s="745"/>
      <c r="AN11" s="751"/>
      <c r="AO11" s="751"/>
      <c r="AP11" s="749"/>
      <c r="AQ11" s="752">
        <f t="shared" si="0"/>
        <v>290.03662012008709</v>
      </c>
      <c r="AS11" s="4"/>
    </row>
    <row r="12" spans="1:45" s="3" customFormat="1" ht="12.75" customHeight="1">
      <c r="A12" s="740" t="s">
        <v>134</v>
      </c>
      <c r="B12" s="741"/>
      <c r="C12" s="742"/>
      <c r="D12" s="747"/>
      <c r="E12" s="748"/>
      <c r="F12" s="745"/>
      <c r="G12" s="745"/>
      <c r="H12" s="746"/>
      <c r="I12" s="747"/>
      <c r="J12" s="748"/>
      <c r="K12" s="748"/>
      <c r="L12" s="746"/>
      <c r="M12" s="748"/>
      <c r="N12" s="798"/>
      <c r="O12" s="798"/>
      <c r="P12" s="748"/>
      <c r="Q12" s="748"/>
      <c r="R12" s="748"/>
      <c r="S12" s="748"/>
      <c r="T12" s="748"/>
      <c r="U12" s="748"/>
      <c r="V12" s="748"/>
      <c r="W12" s="745"/>
      <c r="X12" s="745"/>
      <c r="Y12" s="745"/>
      <c r="Z12" s="748"/>
      <c r="AA12" s="746"/>
      <c r="AB12" s="749"/>
      <c r="AC12" s="750"/>
      <c r="AD12" s="748"/>
      <c r="AE12" s="748"/>
      <c r="AF12" s="748"/>
      <c r="AG12" s="748"/>
      <c r="AH12" s="748"/>
      <c r="AI12" s="748"/>
      <c r="AJ12" s="748"/>
      <c r="AK12" s="747"/>
      <c r="AL12" s="747"/>
      <c r="AM12" s="745"/>
      <c r="AN12" s="751"/>
      <c r="AO12" s="751">
        <v>42.942060079999997</v>
      </c>
      <c r="AP12" s="749"/>
      <c r="AQ12" s="752">
        <f t="shared" si="0"/>
        <v>42.942060079999997</v>
      </c>
      <c r="AS12" s="4"/>
    </row>
    <row r="13" spans="1:45" s="3" customFormat="1" ht="12.75" customHeight="1">
      <c r="A13" s="740" t="s">
        <v>135</v>
      </c>
      <c r="B13" s="741"/>
      <c r="C13" s="742">
        <f>SUM(D13:G13)</f>
        <v>0</v>
      </c>
      <c r="D13" s="747"/>
      <c r="E13" s="745"/>
      <c r="F13" s="745"/>
      <c r="G13" s="745"/>
      <c r="H13" s="746">
        <f>SUM(I13:K13)</f>
        <v>68.075576842105264</v>
      </c>
      <c r="I13" s="747">
        <v>68.075576842105264</v>
      </c>
      <c r="J13" s="748"/>
      <c r="K13" s="748"/>
      <c r="L13" s="746">
        <f>SUM(M13:Z13)</f>
        <v>0</v>
      </c>
      <c r="M13" s="748"/>
      <c r="N13" s="748"/>
      <c r="O13" s="748"/>
      <c r="P13" s="748"/>
      <c r="Q13" s="748"/>
      <c r="R13" s="748"/>
      <c r="S13" s="748"/>
      <c r="T13" s="748"/>
      <c r="U13" s="748"/>
      <c r="V13" s="748"/>
      <c r="W13" s="745"/>
      <c r="X13" s="745"/>
      <c r="Y13" s="745"/>
      <c r="Z13" s="748"/>
      <c r="AA13" s="746"/>
      <c r="AB13" s="749">
        <f>SUM(AC13:AM13)</f>
        <v>0</v>
      </c>
      <c r="AC13" s="750"/>
      <c r="AD13" s="748"/>
      <c r="AE13" s="748"/>
      <c r="AF13" s="748"/>
      <c r="AG13" s="748"/>
      <c r="AH13" s="748"/>
      <c r="AI13" s="748"/>
      <c r="AJ13" s="748"/>
      <c r="AK13" s="747"/>
      <c r="AL13" s="747"/>
      <c r="AM13" s="745"/>
      <c r="AN13" s="751"/>
      <c r="AO13" s="751"/>
      <c r="AP13" s="749"/>
      <c r="AQ13" s="752">
        <f t="shared" si="0"/>
        <v>68.075576842105264</v>
      </c>
      <c r="AS13" s="4"/>
    </row>
    <row r="14" spans="1:45" s="3" customFormat="1" ht="12.75" customHeight="1">
      <c r="A14" s="799" t="s">
        <v>136</v>
      </c>
      <c r="B14" s="800"/>
      <c r="C14" s="801">
        <f>SUM(D14:G14)</f>
        <v>0</v>
      </c>
      <c r="D14" s="802"/>
      <c r="E14" s="803"/>
      <c r="F14" s="804"/>
      <c r="G14" s="804"/>
      <c r="H14" s="805">
        <f>SUM(I14:K14)</f>
        <v>0</v>
      </c>
      <c r="I14" s="802"/>
      <c r="J14" s="803"/>
      <c r="K14" s="803"/>
      <c r="L14" s="805">
        <f>SUM(M14:Z14)</f>
        <v>3130.991863521042</v>
      </c>
      <c r="M14" s="803">
        <v>3092.2052611591994</v>
      </c>
      <c r="N14" s="803">
        <v>38.786602361842682</v>
      </c>
      <c r="O14" s="803"/>
      <c r="P14" s="803"/>
      <c r="Q14" s="803"/>
      <c r="R14" s="803"/>
      <c r="S14" s="803"/>
      <c r="T14" s="803"/>
      <c r="U14" s="803"/>
      <c r="V14" s="803"/>
      <c r="W14" s="804"/>
      <c r="X14" s="804"/>
      <c r="Y14" s="804"/>
      <c r="Z14" s="803"/>
      <c r="AA14" s="805">
        <v>40.734584907594211</v>
      </c>
      <c r="AB14" s="806">
        <f>SUM(AC14:AM14)</f>
        <v>0</v>
      </c>
      <c r="AC14" s="807"/>
      <c r="AD14" s="803"/>
      <c r="AE14" s="803"/>
      <c r="AF14" s="803"/>
      <c r="AG14" s="803"/>
      <c r="AH14" s="803"/>
      <c r="AI14" s="803"/>
      <c r="AJ14" s="803"/>
      <c r="AK14" s="802"/>
      <c r="AL14" s="802"/>
      <c r="AM14" s="804"/>
      <c r="AN14" s="808"/>
      <c r="AO14" s="808">
        <v>11.442471999999999</v>
      </c>
      <c r="AP14" s="806"/>
      <c r="AQ14" s="809">
        <f t="shared" si="0"/>
        <v>3183.1689204286363</v>
      </c>
      <c r="AS14" s="4"/>
    </row>
    <row r="15" spans="1:45" s="6" customFormat="1" ht="12.75" customHeight="1">
      <c r="A15" s="810" t="s">
        <v>137</v>
      </c>
      <c r="B15" s="811"/>
      <c r="C15" s="812">
        <f t="shared" ref="C15:AP15" si="8">SUM(C16:C20)</f>
        <v>0</v>
      </c>
      <c r="D15" s="813">
        <f t="shared" si="8"/>
        <v>0</v>
      </c>
      <c r="E15" s="814">
        <f t="shared" si="8"/>
        <v>0</v>
      </c>
      <c r="F15" s="815">
        <f t="shared" si="8"/>
        <v>0</v>
      </c>
      <c r="G15" s="815">
        <f t="shared" si="8"/>
        <v>0</v>
      </c>
      <c r="H15" s="816">
        <f t="shared" si="8"/>
        <v>64.671797999999995</v>
      </c>
      <c r="I15" s="813">
        <f t="shared" si="8"/>
        <v>0</v>
      </c>
      <c r="J15" s="814">
        <f t="shared" si="8"/>
        <v>0</v>
      </c>
      <c r="K15" s="814">
        <f t="shared" si="8"/>
        <v>64.671797999999995</v>
      </c>
      <c r="L15" s="816">
        <f t="shared" si="8"/>
        <v>3166.7858692089685</v>
      </c>
      <c r="M15" s="814">
        <f t="shared" si="8"/>
        <v>0</v>
      </c>
      <c r="N15" s="814">
        <f t="shared" si="8"/>
        <v>0</v>
      </c>
      <c r="O15" s="814">
        <f t="shared" si="8"/>
        <v>90.017983923640699</v>
      </c>
      <c r="P15" s="814">
        <f t="shared" si="8"/>
        <v>640.53679657777786</v>
      </c>
      <c r="Q15" s="814">
        <f t="shared" si="8"/>
        <v>226.77459106847999</v>
      </c>
      <c r="R15" s="814">
        <f t="shared" si="8"/>
        <v>0</v>
      </c>
      <c r="S15" s="814">
        <f t="shared" si="8"/>
        <v>960.95017928079096</v>
      </c>
      <c r="T15" s="814">
        <f t="shared" si="8"/>
        <v>64.797462901984332</v>
      </c>
      <c r="U15" s="814">
        <f t="shared" si="8"/>
        <v>1146.9502117491124</v>
      </c>
      <c r="V15" s="814">
        <f t="shared" si="8"/>
        <v>0</v>
      </c>
      <c r="W15" s="815">
        <f t="shared" si="8"/>
        <v>36.758643707182323</v>
      </c>
      <c r="X15" s="815">
        <f t="shared" si="8"/>
        <v>0</v>
      </c>
      <c r="Y15" s="815">
        <f t="shared" si="8"/>
        <v>0</v>
      </c>
      <c r="Z15" s="814">
        <f t="shared" si="8"/>
        <v>0</v>
      </c>
      <c r="AA15" s="816">
        <f t="shared" si="8"/>
        <v>0</v>
      </c>
      <c r="AB15" s="817">
        <f t="shared" si="8"/>
        <v>0</v>
      </c>
      <c r="AC15" s="818">
        <f t="shared" si="8"/>
        <v>0</v>
      </c>
      <c r="AD15" s="814">
        <f t="shared" si="8"/>
        <v>0</v>
      </c>
      <c r="AE15" s="814">
        <f t="shared" si="8"/>
        <v>0</v>
      </c>
      <c r="AF15" s="814">
        <f t="shared" si="8"/>
        <v>0</v>
      </c>
      <c r="AG15" s="819">
        <f t="shared" si="8"/>
        <v>0</v>
      </c>
      <c r="AH15" s="819">
        <f t="shared" si="8"/>
        <v>0</v>
      </c>
      <c r="AI15" s="819">
        <f t="shared" si="8"/>
        <v>0</v>
      </c>
      <c r="AJ15" s="819">
        <f t="shared" si="8"/>
        <v>0</v>
      </c>
      <c r="AK15" s="813">
        <f t="shared" si="8"/>
        <v>0</v>
      </c>
      <c r="AL15" s="813">
        <f t="shared" si="8"/>
        <v>0</v>
      </c>
      <c r="AM15" s="815">
        <f t="shared" si="8"/>
        <v>0</v>
      </c>
      <c r="AN15" s="816">
        <f t="shared" si="8"/>
        <v>0</v>
      </c>
      <c r="AO15" s="816">
        <f t="shared" si="8"/>
        <v>1873.361490524092</v>
      </c>
      <c r="AP15" s="817">
        <f t="shared" si="8"/>
        <v>0</v>
      </c>
      <c r="AQ15" s="820">
        <f t="shared" si="0"/>
        <v>5104.8191577330599</v>
      </c>
      <c r="AR15" s="3"/>
      <c r="AS15" s="5"/>
    </row>
    <row r="16" spans="1:45" s="8" customFormat="1" ht="12.75" customHeight="1">
      <c r="A16" s="787" t="s">
        <v>132</v>
      </c>
      <c r="B16" s="788"/>
      <c r="C16" s="789">
        <f>SUM(D16:G16)</f>
        <v>0</v>
      </c>
      <c r="D16" s="790"/>
      <c r="E16" s="791"/>
      <c r="F16" s="792"/>
      <c r="G16" s="792"/>
      <c r="H16" s="793">
        <f>SUM(I16:K16)</f>
        <v>0</v>
      </c>
      <c r="I16" s="790"/>
      <c r="J16" s="791"/>
      <c r="K16" s="791"/>
      <c r="L16" s="793">
        <f>SUM(M16:Z16)</f>
        <v>0</v>
      </c>
      <c r="M16" s="791"/>
      <c r="N16" s="791"/>
      <c r="O16" s="791"/>
      <c r="P16" s="791"/>
      <c r="Q16" s="791"/>
      <c r="R16" s="791"/>
      <c r="S16" s="791"/>
      <c r="T16" s="791"/>
      <c r="U16" s="791"/>
      <c r="V16" s="791"/>
      <c r="W16" s="792"/>
      <c r="X16" s="792"/>
      <c r="Y16" s="792"/>
      <c r="Z16" s="791"/>
      <c r="AA16" s="793"/>
      <c r="AB16" s="794">
        <f>SUM(AC16:AL16)</f>
        <v>0</v>
      </c>
      <c r="AC16" s="795"/>
      <c r="AD16" s="791"/>
      <c r="AE16" s="791"/>
      <c r="AF16" s="791"/>
      <c r="AG16" s="798"/>
      <c r="AH16" s="798"/>
      <c r="AI16" s="798"/>
      <c r="AJ16" s="798"/>
      <c r="AK16" s="790"/>
      <c r="AL16" s="790"/>
      <c r="AM16" s="792"/>
      <c r="AN16" s="796"/>
      <c r="AO16" s="796">
        <v>1667.7865923774164</v>
      </c>
      <c r="AP16" s="794"/>
      <c r="AQ16" s="821">
        <f>C16+H16+L16+AA16+AO16+AP16</f>
        <v>1667.7865923774164</v>
      </c>
      <c r="AR16" s="3"/>
      <c r="AS16" s="7"/>
    </row>
    <row r="17" spans="1:45" s="8" customFormat="1" ht="12.75" customHeight="1">
      <c r="A17" s="740" t="s">
        <v>133</v>
      </c>
      <c r="B17" s="741"/>
      <c r="C17" s="742">
        <f>SUM(D17:G17)</f>
        <v>0</v>
      </c>
      <c r="D17" s="747"/>
      <c r="E17" s="748"/>
      <c r="F17" s="745"/>
      <c r="G17" s="745"/>
      <c r="H17" s="746">
        <f>SUM(I17:K17)</f>
        <v>0</v>
      </c>
      <c r="I17" s="747"/>
      <c r="J17" s="748"/>
      <c r="K17" s="748"/>
      <c r="L17" s="746">
        <f>SUM(M17:Z17)</f>
        <v>0</v>
      </c>
      <c r="M17" s="748"/>
      <c r="N17" s="748"/>
      <c r="O17" s="748"/>
      <c r="P17" s="748"/>
      <c r="Q17" s="748"/>
      <c r="R17" s="748"/>
      <c r="S17" s="748"/>
      <c r="T17" s="748"/>
      <c r="U17" s="748"/>
      <c r="V17" s="748"/>
      <c r="W17" s="745"/>
      <c r="X17" s="745"/>
      <c r="Y17" s="745"/>
      <c r="Z17" s="748"/>
      <c r="AA17" s="746"/>
      <c r="AB17" s="749">
        <f>SUM(AC17:AL17)</f>
        <v>0</v>
      </c>
      <c r="AC17" s="750"/>
      <c r="AD17" s="748"/>
      <c r="AE17" s="748"/>
      <c r="AF17" s="748"/>
      <c r="AG17" s="748"/>
      <c r="AH17" s="748"/>
      <c r="AI17" s="748"/>
      <c r="AJ17" s="748"/>
      <c r="AK17" s="747"/>
      <c r="AL17" s="747"/>
      <c r="AM17" s="745"/>
      <c r="AN17" s="751"/>
      <c r="AO17" s="822">
        <v>185.14395873624346</v>
      </c>
      <c r="AP17" s="749"/>
      <c r="AQ17" s="752">
        <f>C17+H17+L17+AA17+AO17+AP17</f>
        <v>185.14395873624346</v>
      </c>
      <c r="AR17" s="3"/>
      <c r="AS17" s="7"/>
    </row>
    <row r="18" spans="1:45" s="8" customFormat="1" ht="12.75" customHeight="1">
      <c r="A18" s="740" t="s">
        <v>138</v>
      </c>
      <c r="B18" s="741"/>
      <c r="C18" s="742"/>
      <c r="D18" s="747"/>
      <c r="E18" s="748"/>
      <c r="F18" s="745"/>
      <c r="G18" s="745"/>
      <c r="H18" s="746"/>
      <c r="I18" s="747"/>
      <c r="J18" s="748"/>
      <c r="K18" s="748"/>
      <c r="L18" s="746"/>
      <c r="M18" s="748"/>
      <c r="N18" s="748"/>
      <c r="O18" s="748"/>
      <c r="P18" s="748"/>
      <c r="Q18" s="748"/>
      <c r="R18" s="748"/>
      <c r="S18" s="748"/>
      <c r="T18" s="748"/>
      <c r="U18" s="748"/>
      <c r="V18" s="748"/>
      <c r="W18" s="745"/>
      <c r="X18" s="745"/>
      <c r="Y18" s="745"/>
      <c r="Z18" s="748"/>
      <c r="AA18" s="746"/>
      <c r="AB18" s="749"/>
      <c r="AC18" s="750"/>
      <c r="AD18" s="748"/>
      <c r="AE18" s="748"/>
      <c r="AF18" s="748"/>
      <c r="AG18" s="748"/>
      <c r="AH18" s="748"/>
      <c r="AI18" s="748"/>
      <c r="AJ18" s="748"/>
      <c r="AK18" s="747"/>
      <c r="AL18" s="747"/>
      <c r="AM18" s="745"/>
      <c r="AN18" s="751"/>
      <c r="AO18" s="751">
        <v>20.430939410432</v>
      </c>
      <c r="AP18" s="749"/>
      <c r="AQ18" s="752">
        <f t="shared" si="0"/>
        <v>20.430939410432</v>
      </c>
      <c r="AR18" s="3"/>
      <c r="AS18" s="7"/>
    </row>
    <row r="19" spans="1:45" s="8" customFormat="1" ht="12.75" customHeight="1">
      <c r="A19" s="740" t="s">
        <v>135</v>
      </c>
      <c r="B19" s="741"/>
      <c r="C19" s="742"/>
      <c r="D19" s="99"/>
      <c r="E19" s="748"/>
      <c r="F19" s="745"/>
      <c r="G19" s="745"/>
      <c r="H19" s="746">
        <f>SUM(I19:K19)</f>
        <v>64.671797999999995</v>
      </c>
      <c r="I19" s="747"/>
      <c r="J19" s="748"/>
      <c r="K19" s="748">
        <v>64.671797999999995</v>
      </c>
      <c r="L19" s="746">
        <f>SUM(M19:Z19)</f>
        <v>0</v>
      </c>
      <c r="M19" s="748"/>
      <c r="N19" s="748"/>
      <c r="O19" s="748"/>
      <c r="P19" s="748"/>
      <c r="Q19" s="748"/>
      <c r="R19" s="748"/>
      <c r="S19" s="748"/>
      <c r="T19" s="748"/>
      <c r="U19" s="748"/>
      <c r="V19" s="748"/>
      <c r="W19" s="745"/>
      <c r="X19" s="745"/>
      <c r="Y19" s="745"/>
      <c r="Z19" s="748"/>
      <c r="AA19" s="746"/>
      <c r="AB19" s="749">
        <f>SUM(AC19:AL19)</f>
        <v>0</v>
      </c>
      <c r="AC19" s="750"/>
      <c r="AD19" s="748"/>
      <c r="AE19" s="748"/>
      <c r="AF19" s="748"/>
      <c r="AG19" s="748"/>
      <c r="AH19" s="748"/>
      <c r="AI19" s="748"/>
      <c r="AJ19" s="748"/>
      <c r="AK19" s="747"/>
      <c r="AL19" s="747"/>
      <c r="AM19" s="745"/>
      <c r="AN19" s="751"/>
      <c r="AO19" s="751"/>
      <c r="AP19" s="749"/>
      <c r="AQ19" s="752">
        <f t="shared" si="0"/>
        <v>64.671797999999995</v>
      </c>
      <c r="AR19" s="3"/>
      <c r="AS19" s="7"/>
    </row>
    <row r="20" spans="1:45" s="8" customFormat="1" ht="12.75" customHeight="1">
      <c r="A20" s="799" t="s">
        <v>139</v>
      </c>
      <c r="B20" s="800"/>
      <c r="C20" s="801"/>
      <c r="D20" s="802"/>
      <c r="E20" s="803"/>
      <c r="F20" s="804"/>
      <c r="G20" s="804"/>
      <c r="H20" s="805">
        <f>SUM(I20:K20)</f>
        <v>0</v>
      </c>
      <c r="I20" s="802"/>
      <c r="J20" s="803"/>
      <c r="K20" s="803"/>
      <c r="L20" s="805">
        <f>SUM(M20:Z20)</f>
        <v>3166.7858692089685</v>
      </c>
      <c r="M20" s="803"/>
      <c r="N20" s="803"/>
      <c r="O20" s="803">
        <v>90.017983923640699</v>
      </c>
      <c r="P20" s="803">
        <v>640.53679657777786</v>
      </c>
      <c r="Q20" s="803">
        <v>226.77459106847999</v>
      </c>
      <c r="R20" s="803">
        <v>0</v>
      </c>
      <c r="S20" s="803">
        <v>960.95017928079096</v>
      </c>
      <c r="T20" s="803">
        <v>64.797462901984332</v>
      </c>
      <c r="U20" s="803">
        <v>1146.9502117491124</v>
      </c>
      <c r="V20" s="803"/>
      <c r="W20" s="804">
        <v>36.758643707182323</v>
      </c>
      <c r="X20" s="804"/>
      <c r="Y20" s="804"/>
      <c r="Z20" s="803"/>
      <c r="AA20" s="805"/>
      <c r="AB20" s="806">
        <f>SUM(AC20:AL20)</f>
        <v>0</v>
      </c>
      <c r="AC20" s="807"/>
      <c r="AD20" s="803"/>
      <c r="AE20" s="803"/>
      <c r="AF20" s="803"/>
      <c r="AG20" s="803"/>
      <c r="AH20" s="803"/>
      <c r="AI20" s="803"/>
      <c r="AJ20" s="803"/>
      <c r="AK20" s="802"/>
      <c r="AL20" s="802"/>
      <c r="AM20" s="804"/>
      <c r="AN20" s="808"/>
      <c r="AO20" s="808"/>
      <c r="AP20" s="806"/>
      <c r="AQ20" s="809">
        <f t="shared" si="0"/>
        <v>3166.7858692089685</v>
      </c>
      <c r="AR20" s="3"/>
      <c r="AS20" s="7"/>
    </row>
    <row r="21" spans="1:45" s="8" customFormat="1" ht="12.75" customHeight="1">
      <c r="A21" s="823" t="s">
        <v>140</v>
      </c>
      <c r="B21" s="824"/>
      <c r="C21" s="825">
        <f>SUM(C22:C24)</f>
        <v>22.240061570656763</v>
      </c>
      <c r="D21" s="826">
        <f>SUM(D22:D24)</f>
        <v>-17.141361188350004</v>
      </c>
      <c r="E21" s="827">
        <f>SUM(E22:E24)</f>
        <v>39.381422759006767</v>
      </c>
      <c r="F21" s="828">
        <f>SUM(F22:F24)</f>
        <v>0</v>
      </c>
      <c r="G21" s="828">
        <f>SUM(G22:G24)</f>
        <v>0</v>
      </c>
      <c r="H21" s="829">
        <f>SUM(I21:K21)</f>
        <v>0</v>
      </c>
      <c r="I21" s="826">
        <f>SUM(I22:I24)</f>
        <v>0</v>
      </c>
      <c r="J21" s="827">
        <f>SUM(J22:J24)</f>
        <v>0</v>
      </c>
      <c r="K21" s="827">
        <f>SUM(K22:K24)</f>
        <v>0</v>
      </c>
      <c r="L21" s="829">
        <f>SUM(M21:Z21)</f>
        <v>-24.953759699422424</v>
      </c>
      <c r="M21" s="827">
        <f t="shared" ref="M21:AQ21" si="9">SUM(M22:M24)</f>
        <v>0</v>
      </c>
      <c r="N21" s="827">
        <f t="shared" si="9"/>
        <v>30.880435114089789</v>
      </c>
      <c r="O21" s="827">
        <f t="shared" si="9"/>
        <v>0</v>
      </c>
      <c r="P21" s="827">
        <f t="shared" si="9"/>
        <v>-31.080771455555681</v>
      </c>
      <c r="Q21" s="827">
        <f t="shared" si="9"/>
        <v>374.46366644960005</v>
      </c>
      <c r="R21" s="827">
        <f t="shared" si="9"/>
        <v>-373.64776418279996</v>
      </c>
      <c r="S21" s="827">
        <f t="shared" si="9"/>
        <v>0</v>
      </c>
      <c r="T21" s="827">
        <f t="shared" si="9"/>
        <v>0</v>
      </c>
      <c r="U21" s="827">
        <f t="shared" si="9"/>
        <v>-3.3292640540998377</v>
      </c>
      <c r="V21" s="827">
        <f t="shared" si="9"/>
        <v>-22.240061570656767</v>
      </c>
      <c r="W21" s="828">
        <f t="shared" si="9"/>
        <v>0</v>
      </c>
      <c r="X21" s="828">
        <f t="shared" si="9"/>
        <v>0</v>
      </c>
      <c r="Y21" s="828">
        <f t="shared" si="9"/>
        <v>0</v>
      </c>
      <c r="Z21" s="827">
        <f t="shared" si="9"/>
        <v>0</v>
      </c>
      <c r="AA21" s="829">
        <f t="shared" si="9"/>
        <v>0</v>
      </c>
      <c r="AB21" s="830">
        <f t="shared" si="9"/>
        <v>-804.14402736760053</v>
      </c>
      <c r="AC21" s="831">
        <f t="shared" si="9"/>
        <v>-59.691708987970003</v>
      </c>
      <c r="AD21" s="827">
        <f t="shared" si="9"/>
        <v>-743.01992281532614</v>
      </c>
      <c r="AE21" s="827">
        <f t="shared" si="9"/>
        <v>0</v>
      </c>
      <c r="AF21" s="827">
        <f t="shared" si="9"/>
        <v>0</v>
      </c>
      <c r="AG21" s="832">
        <f t="shared" si="9"/>
        <v>0</v>
      </c>
      <c r="AH21" s="832">
        <f t="shared" si="9"/>
        <v>0</v>
      </c>
      <c r="AI21" s="832">
        <f t="shared" si="9"/>
        <v>0</v>
      </c>
      <c r="AJ21" s="832">
        <f t="shared" si="9"/>
        <v>0</v>
      </c>
      <c r="AK21" s="826">
        <f t="shared" si="9"/>
        <v>-1.4323955643044282</v>
      </c>
      <c r="AL21" s="832">
        <f t="shared" si="9"/>
        <v>0</v>
      </c>
      <c r="AM21" s="828">
        <f t="shared" si="9"/>
        <v>0</v>
      </c>
      <c r="AN21" s="833">
        <f t="shared" si="9"/>
        <v>0</v>
      </c>
      <c r="AO21" s="829">
        <f t="shared" si="9"/>
        <v>804.14402736760053</v>
      </c>
      <c r="AP21" s="830">
        <f t="shared" si="9"/>
        <v>0</v>
      </c>
      <c r="AQ21" s="834">
        <f t="shared" si="9"/>
        <v>-2.7136981287656603</v>
      </c>
      <c r="AR21" s="3"/>
      <c r="AS21" s="7"/>
    </row>
    <row r="22" spans="1:45" s="8" customFormat="1" ht="12.75" customHeight="1">
      <c r="A22" s="787" t="s">
        <v>141</v>
      </c>
      <c r="B22" s="788"/>
      <c r="C22" s="835"/>
      <c r="D22" s="836"/>
      <c r="E22" s="837"/>
      <c r="F22" s="792"/>
      <c r="G22" s="792"/>
      <c r="H22" s="793"/>
      <c r="I22" s="838"/>
      <c r="J22" s="791"/>
      <c r="K22" s="791"/>
      <c r="L22" s="793"/>
      <c r="M22" s="791"/>
      <c r="N22" s="791"/>
      <c r="O22" s="791"/>
      <c r="P22" s="791"/>
      <c r="Q22" s="791"/>
      <c r="R22" s="791"/>
      <c r="S22" s="791"/>
      <c r="T22" s="791"/>
      <c r="U22" s="791"/>
      <c r="V22" s="791"/>
      <c r="W22" s="792"/>
      <c r="X22" s="792"/>
      <c r="Y22" s="792"/>
      <c r="Z22" s="791"/>
      <c r="AA22" s="793"/>
      <c r="AB22" s="794">
        <f>SUM(AC22:AM22)</f>
        <v>-804.14402736760053</v>
      </c>
      <c r="AC22" s="795">
        <f>-AC2</f>
        <v>-59.691708987970003</v>
      </c>
      <c r="AD22" s="791">
        <f>-AD2</f>
        <v>-743.01992281532614</v>
      </c>
      <c r="AE22" s="791"/>
      <c r="AF22" s="791"/>
      <c r="AG22" s="798"/>
      <c r="AH22" s="798"/>
      <c r="AI22" s="798"/>
      <c r="AJ22" s="798"/>
      <c r="AK22" s="790">
        <v>-1.4323955643044282</v>
      </c>
      <c r="AL22" s="798"/>
      <c r="AM22" s="792"/>
      <c r="AN22" s="796"/>
      <c r="AO22" s="793">
        <f>-(C22+H22+L22+AA22+AB22)</f>
        <v>804.14402736760053</v>
      </c>
      <c r="AP22" s="794"/>
      <c r="AQ22" s="821">
        <f>C22+H22+L22+AA22+AB22+AN22+AO22+AP22</f>
        <v>0</v>
      </c>
      <c r="AR22" s="3"/>
      <c r="AS22" s="7"/>
    </row>
    <row r="23" spans="1:45" s="8" customFormat="1" ht="12.75" customHeight="1">
      <c r="A23" s="839" t="s">
        <v>142</v>
      </c>
      <c r="B23" s="811"/>
      <c r="C23" s="840"/>
      <c r="D23" s="841"/>
      <c r="E23" s="814"/>
      <c r="F23" s="842"/>
      <c r="G23" s="842"/>
      <c r="H23" s="816"/>
      <c r="I23" s="843"/>
      <c r="J23" s="844"/>
      <c r="K23" s="844"/>
      <c r="L23" s="816"/>
      <c r="M23" s="844"/>
      <c r="N23" s="844"/>
      <c r="O23" s="844"/>
      <c r="P23" s="844"/>
      <c r="Q23" s="844"/>
      <c r="R23" s="844"/>
      <c r="S23" s="844"/>
      <c r="T23" s="844"/>
      <c r="U23" s="844"/>
      <c r="V23" s="844"/>
      <c r="W23" s="842"/>
      <c r="X23" s="842"/>
      <c r="Y23" s="842"/>
      <c r="Z23" s="844"/>
      <c r="AA23" s="816"/>
      <c r="AB23" s="817"/>
      <c r="AC23" s="845"/>
      <c r="AD23" s="844"/>
      <c r="AE23" s="844"/>
      <c r="AF23" s="844"/>
      <c r="AG23" s="844"/>
      <c r="AH23" s="844"/>
      <c r="AI23" s="844"/>
      <c r="AJ23" s="844"/>
      <c r="AK23" s="846"/>
      <c r="AL23" s="846"/>
      <c r="AM23" s="842"/>
      <c r="AN23" s="847"/>
      <c r="AO23" s="816"/>
      <c r="AP23" s="817"/>
      <c r="AQ23" s="848">
        <f>C23+H23+L23+AA23+AB23+AN23+AO23+AP23</f>
        <v>0</v>
      </c>
      <c r="AR23" s="3"/>
      <c r="AS23" s="7"/>
    </row>
    <row r="24" spans="1:45" s="8" customFormat="1" ht="12.75" customHeight="1" thickBot="1">
      <c r="A24" s="754" t="s">
        <v>143</v>
      </c>
      <c r="B24" s="755"/>
      <c r="C24" s="849">
        <f>SUM(D24:G24)</f>
        <v>22.240061570656763</v>
      </c>
      <c r="D24" s="850">
        <v>-17.141361188350004</v>
      </c>
      <c r="E24" s="762">
        <f>-D24-V24</f>
        <v>39.381422759006767</v>
      </c>
      <c r="F24" s="757"/>
      <c r="G24" s="757"/>
      <c r="H24" s="758"/>
      <c r="I24" s="851"/>
      <c r="J24" s="762"/>
      <c r="K24" s="762"/>
      <c r="L24" s="758">
        <f>SUM(N24:Z24)</f>
        <v>-24.953759699422424</v>
      </c>
      <c r="M24" s="762"/>
      <c r="N24" s="762">
        <v>30.880435114089789</v>
      </c>
      <c r="O24" s="762"/>
      <c r="P24" s="762">
        <v>-31.080771455555681</v>
      </c>
      <c r="Q24" s="762">
        <v>374.46366644960005</v>
      </c>
      <c r="R24" s="762">
        <v>-373.64776418279996</v>
      </c>
      <c r="S24" s="762">
        <v>0</v>
      </c>
      <c r="T24" s="762"/>
      <c r="U24" s="762">
        <v>-3.3292640540998377</v>
      </c>
      <c r="V24" s="757">
        <v>-22.240061570656767</v>
      </c>
      <c r="W24" s="757">
        <v>0</v>
      </c>
      <c r="X24" s="757"/>
      <c r="Y24" s="757"/>
      <c r="Z24" s="762"/>
      <c r="AA24" s="758"/>
      <c r="AB24" s="758">
        <f>SUM(AC24:AM24)</f>
        <v>0</v>
      </c>
      <c r="AC24" s="761"/>
      <c r="AD24" s="762"/>
      <c r="AE24" s="762"/>
      <c r="AF24" s="762"/>
      <c r="AG24" s="762"/>
      <c r="AH24" s="762"/>
      <c r="AI24" s="762"/>
      <c r="AJ24" s="762"/>
      <c r="AK24" s="759"/>
      <c r="AL24" s="759"/>
      <c r="AM24" s="757"/>
      <c r="AN24" s="763"/>
      <c r="AO24" s="758"/>
      <c r="AP24" s="760"/>
      <c r="AQ24" s="764">
        <f>C24+H24+L24+AA24+AB24+AN24+AO24+AP24</f>
        <v>-2.7136981287656603</v>
      </c>
      <c r="AR24" s="3"/>
      <c r="AS24" s="7"/>
    </row>
    <row r="25" spans="1:45" s="8" customFormat="1" ht="12.75" customHeight="1" thickBot="1">
      <c r="A25" s="810" t="s">
        <v>144</v>
      </c>
      <c r="B25" s="811"/>
      <c r="C25" s="812">
        <f>SUM(D25:G25)</f>
        <v>0</v>
      </c>
      <c r="D25" s="813"/>
      <c r="E25" s="814"/>
      <c r="F25" s="842"/>
      <c r="G25" s="842"/>
      <c r="H25" s="816">
        <f>SUM(I25:K25)</f>
        <v>10.28324833984202</v>
      </c>
      <c r="I25" s="842">
        <v>10.28324833984202</v>
      </c>
      <c r="J25" s="844"/>
      <c r="K25" s="844"/>
      <c r="L25" s="816">
        <f>SUM(O25:Z25)</f>
        <v>98.284657617035819</v>
      </c>
      <c r="M25" s="844"/>
      <c r="N25" s="844"/>
      <c r="O25" s="844">
        <v>95.274692021714102</v>
      </c>
      <c r="P25" s="844"/>
      <c r="Q25" s="844"/>
      <c r="R25" s="844"/>
      <c r="S25" s="844">
        <v>0</v>
      </c>
      <c r="T25" s="844">
        <v>4.1693256233877908E-3</v>
      </c>
      <c r="U25" s="844">
        <v>3.0057962696983291</v>
      </c>
      <c r="V25" s="844"/>
      <c r="W25" s="842"/>
      <c r="X25" s="842"/>
      <c r="Y25" s="842"/>
      <c r="Z25" s="844"/>
      <c r="AA25" s="816">
        <v>57.528599543766255</v>
      </c>
      <c r="AB25" s="817">
        <f>SUM(AC25:AI25)</f>
        <v>0</v>
      </c>
      <c r="AC25" s="818"/>
      <c r="AD25" s="844"/>
      <c r="AE25" s="844"/>
      <c r="AF25" s="844"/>
      <c r="AG25" s="844"/>
      <c r="AH25" s="844"/>
      <c r="AI25" s="844"/>
      <c r="AJ25" s="844"/>
      <c r="AK25" s="846"/>
      <c r="AL25" s="846"/>
      <c r="AM25" s="842"/>
      <c r="AN25" s="847"/>
      <c r="AO25" s="816">
        <v>259.46681438260055</v>
      </c>
      <c r="AP25" s="817"/>
      <c r="AQ25" s="848">
        <f>C25+H25+L25+AA25+AB25+AN25+AO25+AP25</f>
        <v>425.56331988324462</v>
      </c>
      <c r="AR25" s="3"/>
      <c r="AS25" s="7"/>
    </row>
    <row r="26" spans="1:45" s="6" customFormat="1" ht="12.75" customHeight="1" thickBot="1">
      <c r="A26" s="852" t="s">
        <v>145</v>
      </c>
      <c r="B26" s="853"/>
      <c r="C26" s="854">
        <f t="shared" ref="C26:AP26" si="10">C7-C9+C15+C21-C25</f>
        <v>348.69297193905459</v>
      </c>
      <c r="D26" s="855">
        <f t="shared" si="10"/>
        <v>190.34389623369066</v>
      </c>
      <c r="E26" s="856">
        <f t="shared" si="10"/>
        <v>149.86072528467759</v>
      </c>
      <c r="F26" s="856">
        <f t="shared" si="10"/>
        <v>0</v>
      </c>
      <c r="G26" s="856">
        <f t="shared" si="10"/>
        <v>8.4883504206865013</v>
      </c>
      <c r="H26" s="857">
        <f t="shared" si="10"/>
        <v>199.31419506885081</v>
      </c>
      <c r="I26" s="855">
        <f t="shared" si="10"/>
        <v>0.37225106885087023</v>
      </c>
      <c r="J26" s="856">
        <f t="shared" si="10"/>
        <v>127.70399999999999</v>
      </c>
      <c r="K26" s="856">
        <f t="shared" si="10"/>
        <v>71.237943999999999</v>
      </c>
      <c r="L26" s="857">
        <f t="shared" si="10"/>
        <v>7296.7282199976062</v>
      </c>
      <c r="M26" s="856">
        <f t="shared" si="10"/>
        <v>0</v>
      </c>
      <c r="N26" s="856">
        <f t="shared" si="10"/>
        <v>-0.14794174855289199</v>
      </c>
      <c r="O26" s="856">
        <f t="shared" si="10"/>
        <v>-5.2567080980734033</v>
      </c>
      <c r="P26" s="856">
        <f t="shared" si="10"/>
        <v>799.46408249999979</v>
      </c>
      <c r="Q26" s="856">
        <f t="shared" si="10"/>
        <v>962.00436969728003</v>
      </c>
      <c r="R26" s="856">
        <f t="shared" si="10"/>
        <v>1095.3569190907197</v>
      </c>
      <c r="S26" s="856">
        <f t="shared" si="10"/>
        <v>39.21120498695575</v>
      </c>
      <c r="T26" s="856">
        <f t="shared" si="10"/>
        <v>187.88084937540125</v>
      </c>
      <c r="U26" s="856">
        <f t="shared" si="10"/>
        <v>3833.6812396704358</v>
      </c>
      <c r="V26" s="856">
        <f t="shared" si="10"/>
        <v>145.44440711224036</v>
      </c>
      <c r="W26" s="856">
        <f t="shared" si="10"/>
        <v>7.506512734116022</v>
      </c>
      <c r="X26" s="856">
        <f t="shared" si="10"/>
        <v>195.36275312176252</v>
      </c>
      <c r="Y26" s="856">
        <f t="shared" si="10"/>
        <v>1.2096467108549098</v>
      </c>
      <c r="Z26" s="856">
        <f t="shared" si="10"/>
        <v>35.010884844467988</v>
      </c>
      <c r="AA26" s="857">
        <f t="shared" si="10"/>
        <v>1921.4292269183238</v>
      </c>
      <c r="AB26" s="858">
        <f t="shared" si="10"/>
        <v>456.44000480998989</v>
      </c>
      <c r="AC26" s="785">
        <f t="shared" si="10"/>
        <v>0</v>
      </c>
      <c r="AD26" s="769">
        <f t="shared" si="10"/>
        <v>0</v>
      </c>
      <c r="AE26" s="769">
        <f t="shared" si="10"/>
        <v>196.67659478004623</v>
      </c>
      <c r="AF26" s="769">
        <f t="shared" si="10"/>
        <v>40.692904224132207</v>
      </c>
      <c r="AG26" s="769">
        <f t="shared" si="10"/>
        <v>0</v>
      </c>
      <c r="AH26" s="769">
        <f t="shared" si="10"/>
        <v>9.7770611234061491</v>
      </c>
      <c r="AI26" s="769">
        <f t="shared" si="10"/>
        <v>124.01266332172798</v>
      </c>
      <c r="AJ26" s="769">
        <f t="shared" si="10"/>
        <v>27.929372998367999</v>
      </c>
      <c r="AK26" s="771">
        <f t="shared" si="10"/>
        <v>0</v>
      </c>
      <c r="AL26" s="771">
        <f t="shared" si="10"/>
        <v>13.54608560366562</v>
      </c>
      <c r="AM26" s="859">
        <f t="shared" si="10"/>
        <v>43.805322758643676</v>
      </c>
      <c r="AN26" s="857">
        <f t="shared" si="10"/>
        <v>54.722939604974087</v>
      </c>
      <c r="AO26" s="857">
        <f t="shared" si="10"/>
        <v>2361.2693974490917</v>
      </c>
      <c r="AP26" s="858">
        <f t="shared" si="10"/>
        <v>0</v>
      </c>
      <c r="AQ26" s="860">
        <f>C26+H26+L26+AA26+AB26+AN26+AO26+AP26</f>
        <v>12638.596955787891</v>
      </c>
      <c r="AR26" s="3"/>
      <c r="AS26" s="5"/>
    </row>
    <row r="27" spans="1:45" s="6" customFormat="1" ht="12.75" customHeight="1">
      <c r="A27" s="765" t="s">
        <v>146</v>
      </c>
      <c r="B27" s="766"/>
      <c r="C27" s="767">
        <f t="shared" ref="C27:V27" si="11">C28</f>
        <v>0</v>
      </c>
      <c r="D27" s="771">
        <f t="shared" si="11"/>
        <v>0</v>
      </c>
      <c r="E27" s="769">
        <f t="shared" si="11"/>
        <v>0</v>
      </c>
      <c r="F27" s="784">
        <f t="shared" si="11"/>
        <v>0</v>
      </c>
      <c r="G27" s="784">
        <f t="shared" si="11"/>
        <v>0</v>
      </c>
      <c r="H27" s="770">
        <f t="shared" si="11"/>
        <v>0</v>
      </c>
      <c r="I27" s="771">
        <f t="shared" si="11"/>
        <v>0</v>
      </c>
      <c r="J27" s="769">
        <f t="shared" si="11"/>
        <v>0</v>
      </c>
      <c r="K27" s="769">
        <f t="shared" si="11"/>
        <v>0</v>
      </c>
      <c r="L27" s="770">
        <f t="shared" si="11"/>
        <v>231.58328467708543</v>
      </c>
      <c r="M27" s="769">
        <f t="shared" si="11"/>
        <v>0</v>
      </c>
      <c r="N27" s="769">
        <f t="shared" si="11"/>
        <v>0</v>
      </c>
      <c r="O27" s="769">
        <f t="shared" si="11"/>
        <v>0</v>
      </c>
      <c r="P27" s="769">
        <f t="shared" si="11"/>
        <v>0</v>
      </c>
      <c r="Q27" s="769">
        <f t="shared" si="11"/>
        <v>0</v>
      </c>
      <c r="R27" s="769">
        <f t="shared" si="11"/>
        <v>0</v>
      </c>
      <c r="S27" s="769">
        <f t="shared" si="11"/>
        <v>0</v>
      </c>
      <c r="T27" s="769">
        <f t="shared" si="11"/>
        <v>0</v>
      </c>
      <c r="U27" s="769">
        <f t="shared" si="11"/>
        <v>0</v>
      </c>
      <c r="V27" s="769">
        <f t="shared" si="11"/>
        <v>0</v>
      </c>
      <c r="W27" s="784"/>
      <c r="X27" s="784">
        <f t="shared" ref="X27:AQ27" si="12">X28</f>
        <v>195.36275312176252</v>
      </c>
      <c r="Y27" s="784">
        <f t="shared" si="12"/>
        <v>1.2096467108549098</v>
      </c>
      <c r="Z27" s="769">
        <f t="shared" si="12"/>
        <v>35.010884844467988</v>
      </c>
      <c r="AA27" s="770">
        <f t="shared" si="12"/>
        <v>0</v>
      </c>
      <c r="AB27" s="768">
        <f t="shared" si="12"/>
        <v>0</v>
      </c>
      <c r="AC27" s="785">
        <f t="shared" si="12"/>
        <v>0</v>
      </c>
      <c r="AD27" s="769">
        <f t="shared" si="12"/>
        <v>0</v>
      </c>
      <c r="AE27" s="769">
        <f t="shared" si="12"/>
        <v>0</v>
      </c>
      <c r="AF27" s="769">
        <f t="shared" si="12"/>
        <v>0</v>
      </c>
      <c r="AG27" s="769">
        <f t="shared" si="12"/>
        <v>0</v>
      </c>
      <c r="AH27" s="769">
        <f t="shared" si="12"/>
        <v>0</v>
      </c>
      <c r="AI27" s="769">
        <f t="shared" si="12"/>
        <v>0</v>
      </c>
      <c r="AJ27" s="769">
        <f t="shared" si="12"/>
        <v>0</v>
      </c>
      <c r="AK27" s="771">
        <f t="shared" si="12"/>
        <v>0</v>
      </c>
      <c r="AL27" s="771">
        <f t="shared" si="12"/>
        <v>0</v>
      </c>
      <c r="AM27" s="784">
        <f t="shared" si="12"/>
        <v>0</v>
      </c>
      <c r="AN27" s="770">
        <f t="shared" si="12"/>
        <v>0</v>
      </c>
      <c r="AO27" s="770">
        <f t="shared" si="12"/>
        <v>0</v>
      </c>
      <c r="AP27" s="768">
        <f t="shared" si="12"/>
        <v>0</v>
      </c>
      <c r="AQ27" s="773">
        <f t="shared" si="12"/>
        <v>231.58328467708543</v>
      </c>
      <c r="AR27" s="3"/>
      <c r="AS27" s="5"/>
    </row>
    <row r="28" spans="1:45" s="3" customFormat="1" ht="12.75" customHeight="1" thickBot="1">
      <c r="A28" s="861" t="s">
        <v>147</v>
      </c>
      <c r="B28" s="862"/>
      <c r="C28" s="863">
        <f>SUM(D28:G28)</f>
        <v>0</v>
      </c>
      <c r="D28" s="826"/>
      <c r="E28" s="827"/>
      <c r="F28" s="828"/>
      <c r="G28" s="828"/>
      <c r="H28" s="833">
        <f>SUM(I28:K28)</f>
        <v>0</v>
      </c>
      <c r="I28" s="826"/>
      <c r="J28" s="827"/>
      <c r="K28" s="827"/>
      <c r="L28" s="833">
        <f>SUM(M28:Z28)</f>
        <v>231.58328467708543</v>
      </c>
      <c r="M28" s="827"/>
      <c r="N28" s="827"/>
      <c r="O28" s="827"/>
      <c r="P28" s="827"/>
      <c r="Q28" s="827"/>
      <c r="R28" s="827"/>
      <c r="S28" s="827"/>
      <c r="T28" s="827"/>
      <c r="U28" s="827"/>
      <c r="V28" s="827"/>
      <c r="W28" s="828"/>
      <c r="X28" s="828">
        <f>X26</f>
        <v>195.36275312176252</v>
      </c>
      <c r="Y28" s="828">
        <f>Y26</f>
        <v>1.2096467108549098</v>
      </c>
      <c r="Z28" s="827">
        <f>Z26</f>
        <v>35.010884844467988</v>
      </c>
      <c r="AA28" s="833">
        <v>0</v>
      </c>
      <c r="AB28" s="864">
        <f>SUM(AC28:AI28)</f>
        <v>0</v>
      </c>
      <c r="AC28" s="831"/>
      <c r="AD28" s="827"/>
      <c r="AE28" s="827"/>
      <c r="AF28" s="827"/>
      <c r="AG28" s="827"/>
      <c r="AH28" s="827"/>
      <c r="AI28" s="827"/>
      <c r="AJ28" s="827"/>
      <c r="AK28" s="826"/>
      <c r="AL28" s="826"/>
      <c r="AM28" s="828"/>
      <c r="AN28" s="833"/>
      <c r="AO28" s="833"/>
      <c r="AP28" s="864"/>
      <c r="AQ28" s="834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65" t="s">
        <v>148</v>
      </c>
      <c r="B29" s="766"/>
      <c r="C29" s="767">
        <f t="shared" ref="C29:AQ29" si="14">C30+C45+C56+C58+C65+C70+C71</f>
        <v>351.41289633822032</v>
      </c>
      <c r="D29" s="771">
        <f t="shared" si="14"/>
        <v>190.16205136582681</v>
      </c>
      <c r="E29" s="769">
        <f t="shared" si="14"/>
        <v>153.30941368399715</v>
      </c>
      <c r="F29" s="784">
        <f t="shared" si="14"/>
        <v>0</v>
      </c>
      <c r="G29" s="784">
        <f t="shared" si="14"/>
        <v>7.795884678396293</v>
      </c>
      <c r="H29" s="770">
        <f t="shared" si="14"/>
        <v>197.36847005356</v>
      </c>
      <c r="I29" s="771">
        <f t="shared" si="14"/>
        <v>0.82966372355999995</v>
      </c>
      <c r="J29" s="771">
        <f t="shared" si="14"/>
        <v>127.70399999999999</v>
      </c>
      <c r="K29" s="771">
        <f t="shared" si="14"/>
        <v>68.834806329999992</v>
      </c>
      <c r="L29" s="770">
        <f t="shared" si="14"/>
        <v>7065.3194555859664</v>
      </c>
      <c r="M29" s="769">
        <f t="shared" si="14"/>
        <v>0</v>
      </c>
      <c r="N29" s="769">
        <f t="shared" si="14"/>
        <v>0</v>
      </c>
      <c r="O29" s="769">
        <f t="shared" si="14"/>
        <v>0</v>
      </c>
      <c r="P29" s="769">
        <f t="shared" si="14"/>
        <v>821.48002832197096</v>
      </c>
      <c r="Q29" s="769">
        <f t="shared" si="14"/>
        <v>946.63395628255989</v>
      </c>
      <c r="R29" s="769">
        <f t="shared" si="14"/>
        <v>1102.0673096951998</v>
      </c>
      <c r="S29" s="769">
        <f t="shared" si="14"/>
        <v>31.039400915077643</v>
      </c>
      <c r="T29" s="769">
        <f t="shared" si="14"/>
        <v>181.32381570558749</v>
      </c>
      <c r="U29" s="769">
        <f t="shared" si="14"/>
        <v>3838.1558666328419</v>
      </c>
      <c r="V29" s="769">
        <f t="shared" si="14"/>
        <v>144.61907803272823</v>
      </c>
      <c r="W29" s="784">
        <f t="shared" si="14"/>
        <v>0</v>
      </c>
      <c r="X29" s="784">
        <f t="shared" si="14"/>
        <v>0</v>
      </c>
      <c r="Y29" s="784">
        <f t="shared" si="14"/>
        <v>0</v>
      </c>
      <c r="Z29" s="771">
        <f t="shared" si="14"/>
        <v>0</v>
      </c>
      <c r="AA29" s="857">
        <f t="shared" si="14"/>
        <v>1961.7039372255224</v>
      </c>
      <c r="AB29" s="768">
        <f t="shared" si="14"/>
        <v>464.57031831216926</v>
      </c>
      <c r="AC29" s="785">
        <f t="shared" si="14"/>
        <v>0</v>
      </c>
      <c r="AD29" s="769">
        <f t="shared" si="14"/>
        <v>0</v>
      </c>
      <c r="AE29" s="769">
        <f t="shared" si="14"/>
        <v>202.50934255862566</v>
      </c>
      <c r="AF29" s="769">
        <f t="shared" si="14"/>
        <v>40.692904224132199</v>
      </c>
      <c r="AG29" s="769">
        <f t="shared" si="14"/>
        <v>0</v>
      </c>
      <c r="AH29" s="769">
        <f t="shared" si="14"/>
        <v>9.7770611234061491</v>
      </c>
      <c r="AI29" s="769">
        <f t="shared" si="14"/>
        <v>126.968349188928</v>
      </c>
      <c r="AJ29" s="769">
        <f t="shared" si="14"/>
        <v>27.271252854767997</v>
      </c>
      <c r="AK29" s="768">
        <f t="shared" si="14"/>
        <v>0</v>
      </c>
      <c r="AL29" s="768">
        <f t="shared" si="14"/>
        <v>13.546085603665619</v>
      </c>
      <c r="AM29" s="768">
        <f t="shared" si="14"/>
        <v>43.805322758643683</v>
      </c>
      <c r="AN29" s="768">
        <f t="shared" si="14"/>
        <v>54.722939604974094</v>
      </c>
      <c r="AO29" s="770">
        <f t="shared" si="14"/>
        <v>2397.4208343089181</v>
      </c>
      <c r="AP29" s="768">
        <f t="shared" si="14"/>
        <v>0</v>
      </c>
      <c r="AQ29" s="860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65"/>
      <c r="C30" s="866">
        <f>SUM(C31:C44)</f>
        <v>105.57009591000003</v>
      </c>
      <c r="D30" s="867">
        <v>105.4245493</v>
      </c>
      <c r="E30" s="867">
        <v>0</v>
      </c>
      <c r="F30" s="868"/>
      <c r="G30" s="868"/>
      <c r="H30" s="869">
        <f>SUM(H31:H44)</f>
        <v>0.82966372355999995</v>
      </c>
      <c r="I30" s="870">
        <f t="shared" ref="I30:K30" si="15">SUM(I31:I44)</f>
        <v>0.82966372355999995</v>
      </c>
      <c r="J30" s="867">
        <f t="shared" si="15"/>
        <v>0</v>
      </c>
      <c r="K30" s="867">
        <f t="shared" si="15"/>
        <v>0</v>
      </c>
      <c r="L30" s="869">
        <f>SUM(L31:L44)</f>
        <v>374.2907898235643</v>
      </c>
      <c r="M30" s="867">
        <f>SUM(M31:M44)</f>
        <v>0</v>
      </c>
      <c r="N30" s="867">
        <f>SUM(N31:N44)</f>
        <v>0</v>
      </c>
      <c r="O30" s="867">
        <f>SUM(O31:O44)</f>
        <v>0</v>
      </c>
      <c r="P30" s="867">
        <f>SUM(P31:P44)</f>
        <v>0</v>
      </c>
      <c r="Q30" s="867">
        <v>9.5497368091127406</v>
      </c>
      <c r="R30" s="867">
        <f>SUM(R31:R44)</f>
        <v>0</v>
      </c>
      <c r="S30" s="867">
        <v>30.396553446461994</v>
      </c>
      <c r="T30" s="867">
        <v>55.909311724159259</v>
      </c>
      <c r="U30" s="867">
        <v>137.32678867057862</v>
      </c>
      <c r="V30" s="867">
        <v>141.10839917325163</v>
      </c>
      <c r="W30" s="867">
        <f>SUM(W31:W44)</f>
        <v>0</v>
      </c>
      <c r="X30" s="867">
        <f>SUM(X31:X44)</f>
        <v>0</v>
      </c>
      <c r="Y30" s="867">
        <f>SUM(Y31:Y44)</f>
        <v>0</v>
      </c>
      <c r="Z30" s="867">
        <f>SUM(Z31:Z44)</f>
        <v>0</v>
      </c>
      <c r="AA30" s="869">
        <v>937.35749564856553</v>
      </c>
      <c r="AB30" s="871">
        <f t="shared" ref="AB30:AN30" si="16">SUM(AB31:AB44)</f>
        <v>196.85576511692614</v>
      </c>
      <c r="AC30" s="872">
        <f t="shared" si="16"/>
        <v>0</v>
      </c>
      <c r="AD30" s="867">
        <f t="shared" si="16"/>
        <v>0</v>
      </c>
      <c r="AE30" s="867">
        <f t="shared" si="16"/>
        <v>153.9273551380638</v>
      </c>
      <c r="AF30" s="867">
        <f t="shared" si="16"/>
        <v>40.692904224132199</v>
      </c>
      <c r="AG30" s="867">
        <f t="shared" si="16"/>
        <v>0</v>
      </c>
      <c r="AH30" s="867">
        <f t="shared" si="16"/>
        <v>2.2355057547301662</v>
      </c>
      <c r="AI30" s="867">
        <f t="shared" si="16"/>
        <v>0</v>
      </c>
      <c r="AJ30" s="867">
        <f t="shared" si="16"/>
        <v>0</v>
      </c>
      <c r="AK30" s="867">
        <f t="shared" si="16"/>
        <v>0</v>
      </c>
      <c r="AL30" s="867">
        <f t="shared" si="16"/>
        <v>0</v>
      </c>
      <c r="AM30" s="873">
        <f t="shared" si="16"/>
        <v>0</v>
      </c>
      <c r="AN30" s="870">
        <f t="shared" si="16"/>
        <v>54.722939604974094</v>
      </c>
      <c r="AO30" s="869">
        <v>621.72214114590861</v>
      </c>
      <c r="AP30" s="871">
        <f>SUM(AP31:AP44)</f>
        <v>0</v>
      </c>
      <c r="AQ30" s="786">
        <f t="shared" ref="AQ30" si="17">C30+H30+L30+AA30+AB30+AN30+AO30+AP30</f>
        <v>2291.3488909734988</v>
      </c>
      <c r="AR30" s="3"/>
      <c r="AS30" s="9"/>
    </row>
    <row r="31" spans="1:45" ht="12.75" customHeight="1">
      <c r="A31" s="874" t="s">
        <v>150</v>
      </c>
      <c r="B31" s="875" t="s">
        <v>151</v>
      </c>
      <c r="C31" s="876">
        <f t="shared" ref="C31:C43" si="18">SUM(D31:G31)</f>
        <v>0</v>
      </c>
      <c r="D31" s="795">
        <v>0</v>
      </c>
      <c r="E31" s="877"/>
      <c r="F31" s="877"/>
      <c r="G31" s="878"/>
      <c r="H31" s="879">
        <f t="shared" ref="H31:H43" si="19">SUM(I31:K31)</f>
        <v>0</v>
      </c>
      <c r="I31" s="880"/>
      <c r="J31" s="798"/>
      <c r="K31" s="798"/>
      <c r="L31" s="879">
        <f t="shared" ref="L31:L43" si="20">SUM(M31:Z31)</f>
        <v>22.334930091304539</v>
      </c>
      <c r="M31" s="798"/>
      <c r="N31" s="798"/>
      <c r="O31" s="798"/>
      <c r="P31" s="881"/>
      <c r="Q31" s="838">
        <v>0.34591578903338577</v>
      </c>
      <c r="R31" s="877"/>
      <c r="S31" s="838">
        <v>0</v>
      </c>
      <c r="T31" s="838">
        <v>1.3603740574248424</v>
      </c>
      <c r="U31" s="838">
        <v>20.628640244846309</v>
      </c>
      <c r="V31" s="838">
        <v>0</v>
      </c>
      <c r="W31" s="877"/>
      <c r="X31" s="880"/>
      <c r="Y31" s="881"/>
      <c r="Z31" s="798"/>
      <c r="AA31" s="796">
        <v>8.7861347374034651</v>
      </c>
      <c r="AB31" s="882">
        <f t="shared" ref="AB31:AB43" si="21">SUM(AC31:AM31)</f>
        <v>0</v>
      </c>
      <c r="AC31" s="883"/>
      <c r="AD31" s="798"/>
      <c r="AE31" s="798"/>
      <c r="AF31" s="798"/>
      <c r="AG31" s="798"/>
      <c r="AH31" s="798"/>
      <c r="AI31" s="798"/>
      <c r="AJ31" s="798"/>
      <c r="AK31" s="790"/>
      <c r="AL31" s="792"/>
      <c r="AM31" s="798"/>
      <c r="AN31" s="796"/>
      <c r="AO31" s="796">
        <v>18.350912208427118</v>
      </c>
      <c r="AP31" s="882"/>
      <c r="AQ31" s="797">
        <f t="shared" si="13"/>
        <v>49.471977037135119</v>
      </c>
    </row>
    <row r="32" spans="1:45" ht="12.75" customHeight="1">
      <c r="A32" s="884" t="s">
        <v>152</v>
      </c>
      <c r="B32" s="885" t="s">
        <v>153</v>
      </c>
      <c r="C32" s="742">
        <f t="shared" si="18"/>
        <v>18.505815952000003</v>
      </c>
      <c r="D32" s="750">
        <v>18.505815952000003</v>
      </c>
      <c r="E32" s="886"/>
      <c r="F32" s="886"/>
      <c r="G32" s="887"/>
      <c r="H32" s="746">
        <f t="shared" si="19"/>
        <v>0.82966372355999995</v>
      </c>
      <c r="I32" s="747">
        <v>0.82966372355999995</v>
      </c>
      <c r="J32" s="748"/>
      <c r="K32" s="748"/>
      <c r="L32" s="746">
        <f t="shared" si="20"/>
        <v>71.784094369696632</v>
      </c>
      <c r="M32" s="748"/>
      <c r="N32" s="748"/>
      <c r="O32" s="748"/>
      <c r="P32" s="881"/>
      <c r="Q32" s="886">
        <v>2.0660606672266768</v>
      </c>
      <c r="R32" s="886"/>
      <c r="S32" s="886">
        <v>22.968462416696998</v>
      </c>
      <c r="T32" s="886">
        <v>30.662877604409012</v>
      </c>
      <c r="U32" s="886">
        <v>16.086693681363943</v>
      </c>
      <c r="V32" s="886">
        <v>0</v>
      </c>
      <c r="W32" s="886"/>
      <c r="X32" s="747"/>
      <c r="Y32" s="745"/>
      <c r="Z32" s="748"/>
      <c r="AA32" s="751">
        <v>265.46537885977392</v>
      </c>
      <c r="AB32" s="749">
        <f t="shared" si="21"/>
        <v>26.063524749810167</v>
      </c>
      <c r="AC32" s="750"/>
      <c r="AD32" s="748"/>
      <c r="AE32" s="748">
        <v>23.828018995080001</v>
      </c>
      <c r="AF32" s="748"/>
      <c r="AG32" s="798"/>
      <c r="AH32" s="798">
        <v>2.2355057547301662</v>
      </c>
      <c r="AI32" s="798"/>
      <c r="AJ32" s="798"/>
      <c r="AK32" s="747"/>
      <c r="AL32" s="745"/>
      <c r="AM32" s="748"/>
      <c r="AN32" s="751"/>
      <c r="AO32" s="751">
        <v>148.76072128018708</v>
      </c>
      <c r="AP32" s="749"/>
      <c r="AQ32" s="752">
        <f t="shared" si="13"/>
        <v>531.4091989350278</v>
      </c>
    </row>
    <row r="33" spans="1:45" ht="12.75" customHeight="1">
      <c r="A33" s="884" t="s">
        <v>154</v>
      </c>
      <c r="B33" s="888" t="s">
        <v>155</v>
      </c>
      <c r="C33" s="742">
        <f t="shared" si="18"/>
        <v>0</v>
      </c>
      <c r="D33" s="750">
        <v>0</v>
      </c>
      <c r="E33" s="886"/>
      <c r="F33" s="886"/>
      <c r="G33" s="887"/>
      <c r="H33" s="746">
        <f t="shared" si="19"/>
        <v>0</v>
      </c>
      <c r="I33" s="747"/>
      <c r="J33" s="748"/>
      <c r="K33" s="748"/>
      <c r="L33" s="746">
        <f t="shared" si="20"/>
        <v>3.9848369673637745</v>
      </c>
      <c r="M33" s="748"/>
      <c r="N33" s="748"/>
      <c r="O33" s="748"/>
      <c r="P33" s="881"/>
      <c r="Q33" s="886">
        <v>6.1845550160514413E-2</v>
      </c>
      <c r="R33" s="886"/>
      <c r="S33" s="886">
        <v>0</v>
      </c>
      <c r="T33" s="886">
        <v>3.2282811958991577</v>
      </c>
      <c r="U33" s="886">
        <v>0.69471022130410232</v>
      </c>
      <c r="V33" s="886">
        <v>0</v>
      </c>
      <c r="W33" s="886"/>
      <c r="X33" s="747"/>
      <c r="Y33" s="745"/>
      <c r="Z33" s="748"/>
      <c r="AA33" s="751">
        <v>19.827078866680154</v>
      </c>
      <c r="AB33" s="749">
        <f t="shared" si="21"/>
        <v>0</v>
      </c>
      <c r="AC33" s="750"/>
      <c r="AD33" s="748"/>
      <c r="AE33" s="748"/>
      <c r="AF33" s="748"/>
      <c r="AG33" s="798"/>
      <c r="AH33" s="798"/>
      <c r="AI33" s="798"/>
      <c r="AJ33" s="798"/>
      <c r="AK33" s="747"/>
      <c r="AL33" s="745"/>
      <c r="AM33" s="748"/>
      <c r="AN33" s="751"/>
      <c r="AO33" s="751">
        <v>4.8844128009868593</v>
      </c>
      <c r="AP33" s="749"/>
      <c r="AQ33" s="752">
        <f t="shared" si="13"/>
        <v>28.696328635030788</v>
      </c>
    </row>
    <row r="34" spans="1:45" ht="12.75" customHeight="1">
      <c r="A34" s="884" t="s">
        <v>156</v>
      </c>
      <c r="B34" s="888" t="s">
        <v>157</v>
      </c>
      <c r="C34" s="742">
        <f t="shared" si="18"/>
        <v>0</v>
      </c>
      <c r="D34" s="750">
        <v>0</v>
      </c>
      <c r="E34" s="886"/>
      <c r="F34" s="886"/>
      <c r="G34" s="887"/>
      <c r="H34" s="746">
        <f t="shared" si="19"/>
        <v>0</v>
      </c>
      <c r="I34" s="747"/>
      <c r="J34" s="748"/>
      <c r="K34" s="748"/>
      <c r="L34" s="746">
        <f t="shared" si="20"/>
        <v>2.6182891559382289</v>
      </c>
      <c r="M34" s="748"/>
      <c r="N34" s="748"/>
      <c r="O34" s="748"/>
      <c r="P34" s="881"/>
      <c r="Q34" s="886">
        <v>8.9099521417690272E-2</v>
      </c>
      <c r="R34" s="886"/>
      <c r="S34" s="886">
        <v>0</v>
      </c>
      <c r="T34" s="886">
        <v>0.28505282634285456</v>
      </c>
      <c r="U34" s="886">
        <v>2.244136808177684</v>
      </c>
      <c r="V34" s="886">
        <v>0</v>
      </c>
      <c r="W34" s="886"/>
      <c r="X34" s="747"/>
      <c r="Y34" s="745"/>
      <c r="Z34" s="748"/>
      <c r="AA34" s="751">
        <v>3.0214445851101197</v>
      </c>
      <c r="AB34" s="749">
        <f t="shared" si="21"/>
        <v>127.87356205415999</v>
      </c>
      <c r="AC34" s="750"/>
      <c r="AD34" s="748"/>
      <c r="AE34" s="748">
        <v>127.87356205415999</v>
      </c>
      <c r="AF34" s="748"/>
      <c r="AG34" s="798"/>
      <c r="AH34" s="798"/>
      <c r="AI34" s="798"/>
      <c r="AJ34" s="798"/>
      <c r="AK34" s="747"/>
      <c r="AL34" s="745"/>
      <c r="AM34" s="748"/>
      <c r="AN34" s="751"/>
      <c r="AO34" s="751">
        <v>26.251691103783244</v>
      </c>
      <c r="AP34" s="749"/>
      <c r="AQ34" s="752">
        <f t="shared" si="13"/>
        <v>159.76498689899159</v>
      </c>
    </row>
    <row r="35" spans="1:45" ht="12.75" customHeight="1">
      <c r="A35" s="884" t="s">
        <v>158</v>
      </c>
      <c r="B35" s="888" t="s">
        <v>159</v>
      </c>
      <c r="C35" s="742">
        <f t="shared" si="18"/>
        <v>0</v>
      </c>
      <c r="D35" s="750">
        <v>0</v>
      </c>
      <c r="E35" s="886"/>
      <c r="F35" s="886"/>
      <c r="G35" s="887"/>
      <c r="H35" s="746">
        <f t="shared" si="19"/>
        <v>0</v>
      </c>
      <c r="I35" s="747"/>
      <c r="J35" s="748"/>
      <c r="K35" s="748"/>
      <c r="L35" s="746">
        <f t="shared" si="20"/>
        <v>0.83838358845358163</v>
      </c>
      <c r="M35" s="748"/>
      <c r="N35" s="748"/>
      <c r="O35" s="748"/>
      <c r="P35" s="881"/>
      <c r="Q35" s="886">
        <v>0.19497071745518102</v>
      </c>
      <c r="R35" s="886"/>
      <c r="S35" s="886">
        <v>0</v>
      </c>
      <c r="T35" s="886">
        <v>5.0985058370266664E-2</v>
      </c>
      <c r="U35" s="886">
        <v>0.59242781262813393</v>
      </c>
      <c r="V35" s="886">
        <v>0</v>
      </c>
      <c r="W35" s="886"/>
      <c r="X35" s="747"/>
      <c r="Y35" s="745"/>
      <c r="Z35" s="748"/>
      <c r="AA35" s="751">
        <v>4.5940947412447954</v>
      </c>
      <c r="AB35" s="749">
        <f t="shared" si="21"/>
        <v>0</v>
      </c>
      <c r="AC35" s="750"/>
      <c r="AD35" s="748"/>
      <c r="AE35" s="748"/>
      <c r="AF35" s="748"/>
      <c r="AG35" s="798"/>
      <c r="AH35" s="798"/>
      <c r="AI35" s="798"/>
      <c r="AJ35" s="798"/>
      <c r="AK35" s="747"/>
      <c r="AL35" s="745"/>
      <c r="AM35" s="748"/>
      <c r="AN35" s="751"/>
      <c r="AO35" s="751">
        <v>10.638816275668107</v>
      </c>
      <c r="AP35" s="749"/>
      <c r="AQ35" s="752">
        <f t="shared" si="13"/>
        <v>16.071294605366482</v>
      </c>
    </row>
    <row r="36" spans="1:45" ht="12.75" customHeight="1">
      <c r="A36" s="884" t="s">
        <v>160</v>
      </c>
      <c r="B36" s="888" t="s">
        <v>161</v>
      </c>
      <c r="C36" s="742">
        <f t="shared" si="18"/>
        <v>0</v>
      </c>
      <c r="D36" s="883">
        <v>0</v>
      </c>
      <c r="E36" s="886"/>
      <c r="F36" s="886"/>
      <c r="G36" s="887"/>
      <c r="H36" s="746">
        <f t="shared" si="19"/>
        <v>0</v>
      </c>
      <c r="I36" s="747"/>
      <c r="J36" s="748"/>
      <c r="K36" s="748"/>
      <c r="L36" s="746">
        <f t="shared" si="20"/>
        <v>20.491702651385793</v>
      </c>
      <c r="M36" s="748"/>
      <c r="N36" s="748"/>
      <c r="O36" s="748"/>
      <c r="P36" s="881"/>
      <c r="Q36" s="877">
        <v>0.29140784651903406</v>
      </c>
      <c r="R36" s="886"/>
      <c r="S36" s="877">
        <v>2.7458233928999998</v>
      </c>
      <c r="T36" s="877">
        <v>2.7311768767890574</v>
      </c>
      <c r="U36" s="877">
        <v>4.9055048279840703</v>
      </c>
      <c r="V36" s="877">
        <v>9.8177897071936346</v>
      </c>
      <c r="W36" s="886"/>
      <c r="X36" s="747"/>
      <c r="Y36" s="745"/>
      <c r="Z36" s="748"/>
      <c r="AA36" s="889">
        <v>128.0014006524043</v>
      </c>
      <c r="AB36" s="749">
        <f t="shared" si="21"/>
        <v>0</v>
      </c>
      <c r="AC36" s="750"/>
      <c r="AD36" s="748"/>
      <c r="AE36" s="748">
        <v>0</v>
      </c>
      <c r="AF36" s="748"/>
      <c r="AG36" s="798"/>
      <c r="AH36" s="798"/>
      <c r="AI36" s="798"/>
      <c r="AJ36" s="798"/>
      <c r="AK36" s="880"/>
      <c r="AL36" s="881"/>
      <c r="AM36" s="748"/>
      <c r="AN36" s="889"/>
      <c r="AO36" s="889">
        <v>104.62854472087723</v>
      </c>
      <c r="AP36" s="749"/>
      <c r="AQ36" s="752">
        <f t="shared" si="13"/>
        <v>253.12164802466731</v>
      </c>
    </row>
    <row r="37" spans="1:45" ht="12.75" customHeight="1">
      <c r="A37" s="884" t="s">
        <v>162</v>
      </c>
      <c r="B37" s="888" t="s">
        <v>163</v>
      </c>
      <c r="C37" s="742">
        <f t="shared" si="18"/>
        <v>0</v>
      </c>
      <c r="D37" s="750">
        <v>0</v>
      </c>
      <c r="E37" s="886"/>
      <c r="F37" s="886"/>
      <c r="G37" s="887"/>
      <c r="H37" s="746">
        <f t="shared" si="19"/>
        <v>0</v>
      </c>
      <c r="I37" s="747"/>
      <c r="J37" s="748"/>
      <c r="K37" s="748"/>
      <c r="L37" s="746">
        <f t="shared" si="20"/>
        <v>4.5221622064203446</v>
      </c>
      <c r="M37" s="748"/>
      <c r="N37" s="748"/>
      <c r="O37" s="748"/>
      <c r="P37" s="881"/>
      <c r="Q37" s="886">
        <v>1.8396430598593692</v>
      </c>
      <c r="R37" s="886"/>
      <c r="S37" s="886">
        <v>0</v>
      </c>
      <c r="T37" s="886">
        <v>1.2363876654789667</v>
      </c>
      <c r="U37" s="886">
        <v>1.446131481082009</v>
      </c>
      <c r="V37" s="886">
        <v>0</v>
      </c>
      <c r="W37" s="886"/>
      <c r="X37" s="747"/>
      <c r="Y37" s="745"/>
      <c r="Z37" s="748"/>
      <c r="AA37" s="751">
        <v>2.284026640331299</v>
      </c>
      <c r="AB37" s="749">
        <f t="shared" si="21"/>
        <v>0</v>
      </c>
      <c r="AC37" s="750"/>
      <c r="AD37" s="748"/>
      <c r="AE37" s="748"/>
      <c r="AF37" s="748"/>
      <c r="AG37" s="798"/>
      <c r="AH37" s="798"/>
      <c r="AI37" s="798"/>
      <c r="AJ37" s="798"/>
      <c r="AK37" s="747"/>
      <c r="AL37" s="745"/>
      <c r="AM37" s="748"/>
      <c r="AN37" s="751"/>
      <c r="AO37" s="751">
        <v>20.435816256672165</v>
      </c>
      <c r="AP37" s="749"/>
      <c r="AQ37" s="752">
        <f t="shared" si="13"/>
        <v>27.242005103423807</v>
      </c>
    </row>
    <row r="38" spans="1:45" ht="12.75" customHeight="1">
      <c r="A38" s="884" t="s">
        <v>164</v>
      </c>
      <c r="B38" s="888" t="s">
        <v>165</v>
      </c>
      <c r="C38" s="742">
        <f t="shared" si="18"/>
        <v>86.919212076000022</v>
      </c>
      <c r="D38" s="750">
        <v>86.919212076000022</v>
      </c>
      <c r="E38" s="886"/>
      <c r="F38" s="886"/>
      <c r="G38" s="887"/>
      <c r="H38" s="746">
        <f t="shared" si="19"/>
        <v>0</v>
      </c>
      <c r="I38" s="747"/>
      <c r="J38" s="748"/>
      <c r="K38" s="748"/>
      <c r="L38" s="746">
        <f t="shared" si="20"/>
        <v>165.25524621751634</v>
      </c>
      <c r="M38" s="748"/>
      <c r="N38" s="748"/>
      <c r="O38" s="748"/>
      <c r="P38" s="881"/>
      <c r="Q38" s="886">
        <v>1.7086143518921777</v>
      </c>
      <c r="R38" s="886"/>
      <c r="S38" s="886">
        <v>0</v>
      </c>
      <c r="T38" s="886">
        <v>2.4472828017727997</v>
      </c>
      <c r="U38" s="886">
        <v>29.80873959779337</v>
      </c>
      <c r="V38" s="886">
        <v>131.29060946605799</v>
      </c>
      <c r="W38" s="886"/>
      <c r="X38" s="747"/>
      <c r="Y38" s="745"/>
      <c r="Z38" s="748"/>
      <c r="AA38" s="751">
        <v>20.60514689627021</v>
      </c>
      <c r="AB38" s="749">
        <f t="shared" si="21"/>
        <v>42.918678312955997</v>
      </c>
      <c r="AC38" s="750"/>
      <c r="AD38" s="748"/>
      <c r="AE38" s="748">
        <v>2.2257740888237998</v>
      </c>
      <c r="AF38" s="748">
        <v>40.692904224132199</v>
      </c>
      <c r="AG38" s="798"/>
      <c r="AH38" s="798"/>
      <c r="AI38" s="798"/>
      <c r="AJ38" s="798"/>
      <c r="AK38" s="747"/>
      <c r="AL38" s="745"/>
      <c r="AM38" s="748"/>
      <c r="AN38" s="751">
        <v>54.722939604974094</v>
      </c>
      <c r="AO38" s="751">
        <v>54.010284601158837</v>
      </c>
      <c r="AP38" s="749"/>
      <c r="AQ38" s="752">
        <f t="shared" si="13"/>
        <v>424.43150770887547</v>
      </c>
    </row>
    <row r="39" spans="1:45" ht="12.75" customHeight="1">
      <c r="A39" s="884" t="s">
        <v>166</v>
      </c>
      <c r="B39" s="888" t="s">
        <v>167</v>
      </c>
      <c r="C39" s="742">
        <f t="shared" si="18"/>
        <v>0.14506788200000253</v>
      </c>
      <c r="D39" s="750">
        <v>0.14506788200000253</v>
      </c>
      <c r="E39" s="886"/>
      <c r="F39" s="886"/>
      <c r="G39" s="887"/>
      <c r="H39" s="746">
        <f t="shared" si="19"/>
        <v>0</v>
      </c>
      <c r="I39" s="747"/>
      <c r="J39" s="748"/>
      <c r="K39" s="748"/>
      <c r="L39" s="746">
        <f t="shared" si="20"/>
        <v>8.534515108025424</v>
      </c>
      <c r="M39" s="748"/>
      <c r="N39" s="748"/>
      <c r="O39" s="748"/>
      <c r="P39" s="881"/>
      <c r="Q39" s="886">
        <v>0.75262889856354831</v>
      </c>
      <c r="R39" s="886"/>
      <c r="S39" s="886">
        <v>1.0397614907400001</v>
      </c>
      <c r="T39" s="886">
        <v>3.4113639055014784</v>
      </c>
      <c r="U39" s="886">
        <v>3.3307608132203974</v>
      </c>
      <c r="V39" s="886">
        <v>0</v>
      </c>
      <c r="W39" s="886"/>
      <c r="X39" s="747"/>
      <c r="Y39" s="745"/>
      <c r="Z39" s="748"/>
      <c r="AA39" s="751">
        <v>408.68833080126041</v>
      </c>
      <c r="AB39" s="749">
        <f t="shared" si="21"/>
        <v>0</v>
      </c>
      <c r="AC39" s="750"/>
      <c r="AD39" s="748"/>
      <c r="AE39" s="748"/>
      <c r="AF39" s="748"/>
      <c r="AG39" s="798"/>
      <c r="AH39" s="798"/>
      <c r="AI39" s="798"/>
      <c r="AJ39" s="798"/>
      <c r="AK39" s="747"/>
      <c r="AL39" s="745"/>
      <c r="AM39" s="748"/>
      <c r="AN39" s="751"/>
      <c r="AO39" s="751">
        <v>49.329922605876547</v>
      </c>
      <c r="AP39" s="749"/>
      <c r="AQ39" s="752">
        <f t="shared" si="13"/>
        <v>466.6978363971624</v>
      </c>
    </row>
    <row r="40" spans="1:45" ht="12.75" customHeight="1">
      <c r="A40" s="884" t="s">
        <v>168</v>
      </c>
      <c r="B40" s="888" t="s">
        <v>169</v>
      </c>
      <c r="C40" s="742">
        <f t="shared" si="18"/>
        <v>0</v>
      </c>
      <c r="D40" s="750">
        <v>0</v>
      </c>
      <c r="E40" s="886"/>
      <c r="F40" s="886"/>
      <c r="G40" s="887"/>
      <c r="H40" s="746">
        <f t="shared" si="19"/>
        <v>0</v>
      </c>
      <c r="I40" s="747"/>
      <c r="J40" s="748"/>
      <c r="K40" s="748"/>
      <c r="L40" s="746">
        <f t="shared" si="20"/>
        <v>4.4175991624811015</v>
      </c>
      <c r="M40" s="748"/>
      <c r="N40" s="748"/>
      <c r="O40" s="748"/>
      <c r="P40" s="881"/>
      <c r="Q40" s="886">
        <v>0.21069416241124406</v>
      </c>
      <c r="R40" s="886"/>
      <c r="S40" s="886">
        <v>0</v>
      </c>
      <c r="T40" s="886">
        <v>2.0741648746085759</v>
      </c>
      <c r="U40" s="886">
        <v>2.1327401254612819</v>
      </c>
      <c r="V40" s="886">
        <v>0</v>
      </c>
      <c r="W40" s="886"/>
      <c r="X40" s="747"/>
      <c r="Y40" s="745"/>
      <c r="Z40" s="748"/>
      <c r="AA40" s="751">
        <v>7.9737681987539286</v>
      </c>
      <c r="AB40" s="749">
        <f t="shared" si="21"/>
        <v>0</v>
      </c>
      <c r="AC40" s="750"/>
      <c r="AD40" s="748"/>
      <c r="AE40" s="748"/>
      <c r="AF40" s="748"/>
      <c r="AG40" s="798"/>
      <c r="AH40" s="798"/>
      <c r="AI40" s="798"/>
      <c r="AJ40" s="798"/>
      <c r="AK40" s="747"/>
      <c r="AL40" s="745"/>
      <c r="AM40" s="748"/>
      <c r="AN40" s="751"/>
      <c r="AO40" s="751">
        <v>18.411529811795422</v>
      </c>
      <c r="AP40" s="749"/>
      <c r="AQ40" s="752">
        <f t="shared" si="13"/>
        <v>30.802897173030452</v>
      </c>
    </row>
    <row r="41" spans="1:45" ht="12.75" customHeight="1">
      <c r="A41" s="884" t="s">
        <v>170</v>
      </c>
      <c r="B41" s="888" t="s">
        <v>171</v>
      </c>
      <c r="C41" s="742">
        <f t="shared" si="18"/>
        <v>0</v>
      </c>
      <c r="D41" s="883">
        <v>0</v>
      </c>
      <c r="E41" s="886"/>
      <c r="F41" s="886"/>
      <c r="G41" s="887"/>
      <c r="H41" s="746">
        <f t="shared" si="19"/>
        <v>0</v>
      </c>
      <c r="I41" s="747"/>
      <c r="J41" s="748"/>
      <c r="K41" s="748"/>
      <c r="L41" s="746">
        <f t="shared" si="20"/>
        <v>3.5291908924471116</v>
      </c>
      <c r="M41" s="748"/>
      <c r="N41" s="748"/>
      <c r="O41" s="748"/>
      <c r="P41" s="881"/>
      <c r="Q41" s="877">
        <v>0.4496905257434014</v>
      </c>
      <c r="R41" s="886"/>
      <c r="S41" s="877">
        <v>0</v>
      </c>
      <c r="T41" s="877">
        <v>2.0880698905277391</v>
      </c>
      <c r="U41" s="877">
        <v>0.99143047617597102</v>
      </c>
      <c r="V41" s="877">
        <v>0</v>
      </c>
      <c r="W41" s="886"/>
      <c r="X41" s="747"/>
      <c r="Y41" s="745"/>
      <c r="Z41" s="748"/>
      <c r="AA41" s="889">
        <v>18.389717274057872</v>
      </c>
      <c r="AB41" s="749">
        <f t="shared" si="21"/>
        <v>0</v>
      </c>
      <c r="AC41" s="750"/>
      <c r="AD41" s="748"/>
      <c r="AE41" s="748"/>
      <c r="AF41" s="748"/>
      <c r="AG41" s="798"/>
      <c r="AH41" s="798"/>
      <c r="AI41" s="798"/>
      <c r="AJ41" s="798"/>
      <c r="AK41" s="880"/>
      <c r="AL41" s="881"/>
      <c r="AM41" s="748"/>
      <c r="AN41" s="889"/>
      <c r="AO41" s="889">
        <v>80.043410825191572</v>
      </c>
      <c r="AP41" s="749"/>
      <c r="AQ41" s="752">
        <f t="shared" si="13"/>
        <v>101.96231899169655</v>
      </c>
    </row>
    <row r="42" spans="1:45" ht="12.75" customHeight="1">
      <c r="A42" s="884" t="s">
        <v>172</v>
      </c>
      <c r="B42" s="888" t="s">
        <v>173</v>
      </c>
      <c r="C42" s="742">
        <f t="shared" si="18"/>
        <v>0</v>
      </c>
      <c r="D42" s="750">
        <v>0</v>
      </c>
      <c r="E42" s="886"/>
      <c r="F42" s="886"/>
      <c r="G42" s="887"/>
      <c r="H42" s="746">
        <f t="shared" si="19"/>
        <v>0</v>
      </c>
      <c r="I42" s="747"/>
      <c r="J42" s="748"/>
      <c r="K42" s="748"/>
      <c r="L42" s="746">
        <f t="shared" si="20"/>
        <v>1.41139605019423</v>
      </c>
      <c r="M42" s="748"/>
      <c r="N42" s="748"/>
      <c r="O42" s="748"/>
      <c r="P42" s="881"/>
      <c r="Q42" s="886">
        <v>5.2411483186876627E-2</v>
      </c>
      <c r="R42" s="886"/>
      <c r="S42" s="886">
        <v>0</v>
      </c>
      <c r="T42" s="886">
        <v>0.92352480729778486</v>
      </c>
      <c r="U42" s="886">
        <v>0.43545975970956852</v>
      </c>
      <c r="V42" s="886">
        <v>0</v>
      </c>
      <c r="W42" s="886"/>
      <c r="X42" s="747"/>
      <c r="Y42" s="745"/>
      <c r="Z42" s="748"/>
      <c r="AA42" s="751">
        <v>0.27057712702478681</v>
      </c>
      <c r="AB42" s="749">
        <f t="shared" si="21"/>
        <v>0</v>
      </c>
      <c r="AC42" s="750"/>
      <c r="AD42" s="748"/>
      <c r="AE42" s="748"/>
      <c r="AF42" s="748"/>
      <c r="AG42" s="798"/>
      <c r="AH42" s="798"/>
      <c r="AI42" s="798"/>
      <c r="AJ42" s="798"/>
      <c r="AK42" s="846"/>
      <c r="AL42" s="842"/>
      <c r="AM42" s="748"/>
      <c r="AN42" s="847"/>
      <c r="AO42" s="751">
        <v>2.2633417821038564</v>
      </c>
      <c r="AP42" s="749"/>
      <c r="AQ42" s="752">
        <f t="shared" si="13"/>
        <v>3.9453149593228733</v>
      </c>
    </row>
    <row r="43" spans="1:45" ht="12.75" customHeight="1">
      <c r="A43" s="884" t="s">
        <v>174</v>
      </c>
      <c r="B43" s="888" t="s">
        <v>175</v>
      </c>
      <c r="C43" s="742">
        <f t="shared" si="18"/>
        <v>0</v>
      </c>
      <c r="D43" s="750">
        <v>0</v>
      </c>
      <c r="E43" s="886"/>
      <c r="F43" s="886"/>
      <c r="G43" s="887"/>
      <c r="H43" s="746">
        <f t="shared" si="19"/>
        <v>0</v>
      </c>
      <c r="I43" s="747"/>
      <c r="J43" s="748"/>
      <c r="K43" s="748">
        <v>0</v>
      </c>
      <c r="L43" s="746">
        <f t="shared" si="20"/>
        <v>12.511675497016565</v>
      </c>
      <c r="M43" s="748"/>
      <c r="N43" s="748"/>
      <c r="O43" s="748"/>
      <c r="P43" s="745"/>
      <c r="Q43" s="886">
        <v>0.76415942486466115</v>
      </c>
      <c r="R43" s="886"/>
      <c r="S43" s="886">
        <v>3.6425061461249997</v>
      </c>
      <c r="T43" s="886">
        <v>4.9362806513030915</v>
      </c>
      <c r="U43" s="886">
        <v>3.1687292747238134</v>
      </c>
      <c r="V43" s="886">
        <v>0</v>
      </c>
      <c r="W43" s="886"/>
      <c r="X43" s="747"/>
      <c r="Y43" s="745"/>
      <c r="Z43" s="748"/>
      <c r="AA43" s="751">
        <v>30.013736057345717</v>
      </c>
      <c r="AB43" s="749">
        <f t="shared" si="21"/>
        <v>0</v>
      </c>
      <c r="AC43" s="750"/>
      <c r="AD43" s="748"/>
      <c r="AE43" s="748"/>
      <c r="AF43" s="748"/>
      <c r="AG43" s="748"/>
      <c r="AH43" s="748"/>
      <c r="AI43" s="748"/>
      <c r="AJ43" s="748"/>
      <c r="AK43" s="747"/>
      <c r="AL43" s="745"/>
      <c r="AM43" s="748"/>
      <c r="AN43" s="751"/>
      <c r="AO43" s="751">
        <v>59.095333131604164</v>
      </c>
      <c r="AP43" s="749"/>
      <c r="AQ43" s="752">
        <f t="shared" si="13"/>
        <v>101.62074468596644</v>
      </c>
    </row>
    <row r="44" spans="1:45" s="99" customFormat="1" ht="12.75" customHeight="1">
      <c r="A44" s="890" t="s">
        <v>978</v>
      </c>
      <c r="B44" s="891" t="s">
        <v>979</v>
      </c>
      <c r="C44" s="801">
        <f>SUM(D44:G44)</f>
        <v>0</v>
      </c>
      <c r="D44" s="807">
        <v>0</v>
      </c>
      <c r="E44" s="892"/>
      <c r="F44" s="892"/>
      <c r="G44" s="893"/>
      <c r="H44" s="805">
        <f>SUM(I44:K44)</f>
        <v>0</v>
      </c>
      <c r="I44" s="802"/>
      <c r="J44" s="803"/>
      <c r="K44" s="803"/>
      <c r="L44" s="805">
        <f>SUM(M44:Z44)</f>
        <v>52.05676786532063</v>
      </c>
      <c r="M44" s="803"/>
      <c r="N44" s="803"/>
      <c r="O44" s="803"/>
      <c r="P44" s="804"/>
      <c r="Q44" s="892">
        <v>0.72259481077897947</v>
      </c>
      <c r="R44" s="892"/>
      <c r="S44" s="892">
        <v>0</v>
      </c>
      <c r="T44" s="892">
        <v>0.47348950843364052</v>
      </c>
      <c r="U44" s="892">
        <v>50.860683546108007</v>
      </c>
      <c r="V44" s="892">
        <v>0</v>
      </c>
      <c r="W44" s="892"/>
      <c r="X44" s="802"/>
      <c r="Y44" s="804"/>
      <c r="Z44" s="803"/>
      <c r="AA44" s="808">
        <v>19.436660210904712</v>
      </c>
      <c r="AB44" s="806">
        <f>SUM(AC44:AM44)</f>
        <v>0</v>
      </c>
      <c r="AC44" s="807"/>
      <c r="AD44" s="803"/>
      <c r="AE44" s="803"/>
      <c r="AF44" s="803"/>
      <c r="AG44" s="803"/>
      <c r="AH44" s="803"/>
      <c r="AI44" s="803"/>
      <c r="AJ44" s="803"/>
      <c r="AK44" s="802"/>
      <c r="AL44" s="804"/>
      <c r="AM44" s="803"/>
      <c r="AN44" s="808"/>
      <c r="AO44" s="808">
        <v>24.617403741576357</v>
      </c>
      <c r="AP44" s="806"/>
      <c r="AQ44" s="809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11"/>
      <c r="C45" s="894">
        <f t="shared" ref="C45:AP45" si="22">SUM(C46:C55)</f>
        <v>0</v>
      </c>
      <c r="D45" s="895">
        <f t="shared" si="22"/>
        <v>0</v>
      </c>
      <c r="E45" s="895">
        <f t="shared" si="22"/>
        <v>0</v>
      </c>
      <c r="F45" s="896">
        <f t="shared" si="22"/>
        <v>0</v>
      </c>
      <c r="G45" s="896">
        <f t="shared" si="22"/>
        <v>0</v>
      </c>
      <c r="H45" s="897">
        <f t="shared" si="22"/>
        <v>0</v>
      </c>
      <c r="I45" s="898">
        <f t="shared" si="22"/>
        <v>0</v>
      </c>
      <c r="J45" s="895">
        <f t="shared" si="22"/>
        <v>0</v>
      </c>
      <c r="K45" s="895">
        <f t="shared" si="22"/>
        <v>0</v>
      </c>
      <c r="L45" s="897">
        <f t="shared" si="22"/>
        <v>5019.9247759387081</v>
      </c>
      <c r="M45" s="895">
        <f t="shared" si="22"/>
        <v>0</v>
      </c>
      <c r="N45" s="895">
        <f t="shared" ref="N45" si="23">SUM(N46:N55)</f>
        <v>0</v>
      </c>
      <c r="O45" s="895">
        <f t="shared" si="22"/>
        <v>0</v>
      </c>
      <c r="P45" s="895">
        <f t="shared" si="22"/>
        <v>821.48002832197096</v>
      </c>
      <c r="Q45" s="895">
        <f t="shared" si="22"/>
        <v>0</v>
      </c>
      <c r="R45" s="895">
        <f t="shared" si="22"/>
        <v>1102.0673096951998</v>
      </c>
      <c r="S45" s="895">
        <f t="shared" si="22"/>
        <v>0</v>
      </c>
      <c r="T45" s="895">
        <f t="shared" si="22"/>
        <v>1.8520724281984335</v>
      </c>
      <c r="U45" s="895">
        <f>SUM(U46:U55)</f>
        <v>3094.5253654933395</v>
      </c>
      <c r="V45" s="895">
        <f t="shared" si="22"/>
        <v>0</v>
      </c>
      <c r="W45" s="896">
        <f t="shared" si="22"/>
        <v>0</v>
      </c>
      <c r="X45" s="896">
        <f t="shared" si="22"/>
        <v>0</v>
      </c>
      <c r="Y45" s="896">
        <f t="shared" si="22"/>
        <v>0</v>
      </c>
      <c r="Z45" s="895">
        <f t="shared" si="22"/>
        <v>0</v>
      </c>
      <c r="AA45" s="897">
        <f t="shared" si="22"/>
        <v>22.560835415583806</v>
      </c>
      <c r="AB45" s="899">
        <f t="shared" si="22"/>
        <v>154.23960204369601</v>
      </c>
      <c r="AC45" s="900">
        <f t="shared" si="22"/>
        <v>0</v>
      </c>
      <c r="AD45" s="895">
        <f t="shared" si="22"/>
        <v>0</v>
      </c>
      <c r="AE45" s="895">
        <f t="shared" si="22"/>
        <v>0</v>
      </c>
      <c r="AF45" s="895">
        <f t="shared" ref="AF45" si="24">SUM(AF46:AF55)</f>
        <v>0</v>
      </c>
      <c r="AG45" s="895">
        <f t="shared" si="22"/>
        <v>0</v>
      </c>
      <c r="AH45" s="895">
        <f t="shared" si="22"/>
        <v>0</v>
      </c>
      <c r="AI45" s="895">
        <f t="shared" si="22"/>
        <v>126.968349188928</v>
      </c>
      <c r="AJ45" s="895">
        <f t="shared" ref="AJ45" si="25">SUM(AJ46:AJ55)</f>
        <v>27.271252854767997</v>
      </c>
      <c r="AK45" s="898">
        <f t="shared" si="22"/>
        <v>0</v>
      </c>
      <c r="AL45" s="896">
        <f t="shared" ref="AL45" si="26">SUM(AL46:AL55)</f>
        <v>0</v>
      </c>
      <c r="AM45" s="895">
        <f t="shared" si="22"/>
        <v>0</v>
      </c>
      <c r="AN45" s="897">
        <f t="shared" si="22"/>
        <v>0</v>
      </c>
      <c r="AO45" s="897">
        <f t="shared" si="22"/>
        <v>5.3733816232262495</v>
      </c>
      <c r="AP45" s="899">
        <f t="shared" si="22"/>
        <v>0</v>
      </c>
      <c r="AQ45" s="901">
        <f t="shared" si="13"/>
        <v>5202.0985950212144</v>
      </c>
      <c r="AR45" s="3"/>
      <c r="AS45" s="5"/>
    </row>
    <row r="46" spans="1:45" s="3" customFormat="1" ht="12.75" customHeight="1">
      <c r="A46" s="902" t="s">
        <v>177</v>
      </c>
      <c r="B46" s="788"/>
      <c r="C46" s="789">
        <f t="shared" ref="C46:C64" si="27">SUM(D46:G46)</f>
        <v>0</v>
      </c>
      <c r="D46" s="903"/>
      <c r="E46" s="837"/>
      <c r="F46" s="792"/>
      <c r="G46" s="792"/>
      <c r="H46" s="793">
        <f t="shared" ref="H46:H64" si="28">SUM(I46:K46)</f>
        <v>0</v>
      </c>
      <c r="I46" s="790"/>
      <c r="J46" s="791"/>
      <c r="K46" s="791"/>
      <c r="L46" s="793">
        <f t="shared" ref="L46:L64" si="29">SUM(M46:Z46)</f>
        <v>702.41214426261672</v>
      </c>
      <c r="M46" s="791"/>
      <c r="N46" s="791"/>
      <c r="O46" s="791"/>
      <c r="P46" s="791"/>
      <c r="Q46" s="791"/>
      <c r="R46" s="791"/>
      <c r="S46" s="791"/>
      <c r="T46" s="791"/>
      <c r="U46" s="791">
        <v>702.41214426261672</v>
      </c>
      <c r="V46" s="791"/>
      <c r="W46" s="792"/>
      <c r="X46" s="792"/>
      <c r="Y46" s="792"/>
      <c r="Z46" s="791"/>
      <c r="AA46" s="796">
        <v>2.9723185667999998E-2</v>
      </c>
      <c r="AB46" s="794">
        <f t="shared" ref="AB46:AB64" si="30">SUM(AC46:AM46)</f>
        <v>30.002374318707627</v>
      </c>
      <c r="AC46" s="795"/>
      <c r="AD46" s="791"/>
      <c r="AE46" s="791"/>
      <c r="AF46" s="791"/>
      <c r="AG46" s="791"/>
      <c r="AH46" s="791"/>
      <c r="AI46" s="791">
        <v>30.002374318707627</v>
      </c>
      <c r="AJ46" s="791">
        <v>0</v>
      </c>
      <c r="AK46" s="790"/>
      <c r="AL46" s="792"/>
      <c r="AM46" s="791"/>
      <c r="AN46" s="793"/>
      <c r="AO46" s="796"/>
      <c r="AP46" s="794"/>
      <c r="AQ46" s="821">
        <f t="shared" si="13"/>
        <v>732.44424176699238</v>
      </c>
      <c r="AS46" s="4"/>
    </row>
    <row r="47" spans="1:45" s="3" customFormat="1" ht="12.75" customHeight="1">
      <c r="A47" s="874" t="s">
        <v>178</v>
      </c>
      <c r="B47" s="904"/>
      <c r="C47" s="742">
        <f t="shared" si="27"/>
        <v>0</v>
      </c>
      <c r="D47" s="905"/>
      <c r="E47" s="906"/>
      <c r="F47" s="881"/>
      <c r="G47" s="881"/>
      <c r="H47" s="746">
        <f t="shared" si="28"/>
        <v>0</v>
      </c>
      <c r="I47" s="880"/>
      <c r="J47" s="798"/>
      <c r="K47" s="798"/>
      <c r="L47" s="879">
        <f t="shared" si="29"/>
        <v>319.57486919365164</v>
      </c>
      <c r="M47" s="798"/>
      <c r="N47" s="798"/>
      <c r="O47" s="798"/>
      <c r="P47" s="798"/>
      <c r="Q47" s="798"/>
      <c r="R47" s="798"/>
      <c r="S47" s="798"/>
      <c r="T47" s="798"/>
      <c r="U47" s="798">
        <v>319.57486919365164</v>
      </c>
      <c r="V47" s="798"/>
      <c r="W47" s="881"/>
      <c r="X47" s="881"/>
      <c r="Y47" s="881"/>
      <c r="Z47" s="798"/>
      <c r="AA47" s="889"/>
      <c r="AB47" s="882">
        <f t="shared" si="30"/>
        <v>13.65011258235765</v>
      </c>
      <c r="AC47" s="883"/>
      <c r="AD47" s="798"/>
      <c r="AE47" s="798"/>
      <c r="AF47" s="798"/>
      <c r="AG47" s="798"/>
      <c r="AH47" s="798"/>
      <c r="AI47" s="798">
        <v>13.65011258235765</v>
      </c>
      <c r="AJ47" s="798">
        <v>0</v>
      </c>
      <c r="AK47" s="880"/>
      <c r="AL47" s="881"/>
      <c r="AM47" s="798"/>
      <c r="AN47" s="879"/>
      <c r="AO47" s="889"/>
      <c r="AP47" s="882"/>
      <c r="AQ47" s="797">
        <f t="shared" si="13"/>
        <v>333.22498177600926</v>
      </c>
      <c r="AS47" s="4"/>
    </row>
    <row r="48" spans="1:45" s="3" customFormat="1" ht="12.75" customHeight="1">
      <c r="A48" s="884" t="s">
        <v>179</v>
      </c>
      <c r="B48" s="741"/>
      <c r="C48" s="742">
        <f t="shared" si="27"/>
        <v>0</v>
      </c>
      <c r="D48" s="743"/>
      <c r="E48" s="753"/>
      <c r="F48" s="745"/>
      <c r="G48" s="745"/>
      <c r="H48" s="746">
        <f t="shared" si="28"/>
        <v>0</v>
      </c>
      <c r="I48" s="747"/>
      <c r="J48" s="748"/>
      <c r="K48" s="748"/>
      <c r="L48" s="746">
        <f t="shared" si="29"/>
        <v>1985.7767970742025</v>
      </c>
      <c r="M48" s="748"/>
      <c r="N48" s="748"/>
      <c r="O48" s="748"/>
      <c r="P48" s="748">
        <v>673.74419325959013</v>
      </c>
      <c r="Q48" s="748"/>
      <c r="R48" s="748"/>
      <c r="S48" s="748"/>
      <c r="T48" s="748">
        <v>1.8520724281984335</v>
      </c>
      <c r="U48" s="748">
        <v>1310.180531386414</v>
      </c>
      <c r="V48" s="748"/>
      <c r="W48" s="745"/>
      <c r="X48" s="745"/>
      <c r="Y48" s="745"/>
      <c r="Z48" s="748"/>
      <c r="AA48" s="751"/>
      <c r="AB48" s="749">
        <f t="shared" si="30"/>
        <v>78.347166728170066</v>
      </c>
      <c r="AC48" s="750"/>
      <c r="AD48" s="748"/>
      <c r="AE48" s="748"/>
      <c r="AF48" s="748"/>
      <c r="AG48" s="748"/>
      <c r="AH48" s="748"/>
      <c r="AI48" s="748">
        <v>55.96219690791942</v>
      </c>
      <c r="AJ48" s="748">
        <v>22.384969820250642</v>
      </c>
      <c r="AK48" s="747"/>
      <c r="AL48" s="745"/>
      <c r="AM48" s="748"/>
      <c r="AN48" s="746"/>
      <c r="AO48" s="751">
        <v>1.0652907432262495</v>
      </c>
      <c r="AP48" s="749"/>
      <c r="AQ48" s="752">
        <f t="shared" si="13"/>
        <v>2065.1892545455989</v>
      </c>
      <c r="AS48" s="4"/>
    </row>
    <row r="49" spans="1:45" s="3" customFormat="1" ht="12.75" customHeight="1">
      <c r="A49" s="884" t="s">
        <v>180</v>
      </c>
      <c r="B49" s="741"/>
      <c r="C49" s="742">
        <f t="shared" si="27"/>
        <v>0</v>
      </c>
      <c r="D49" s="743"/>
      <c r="E49" s="753"/>
      <c r="F49" s="745"/>
      <c r="G49" s="745"/>
      <c r="H49" s="746">
        <f t="shared" si="28"/>
        <v>0</v>
      </c>
      <c r="I49" s="747"/>
      <c r="J49" s="748"/>
      <c r="K49" s="748"/>
      <c r="L49" s="746">
        <f t="shared" si="29"/>
        <v>131.85233821544426</v>
      </c>
      <c r="M49" s="748"/>
      <c r="N49" s="748"/>
      <c r="O49" s="748"/>
      <c r="P49" s="748">
        <v>6.3769522656162847</v>
      </c>
      <c r="Q49" s="748"/>
      <c r="R49" s="748"/>
      <c r="S49" s="748"/>
      <c r="T49" s="748"/>
      <c r="U49" s="748">
        <v>125.47538594982798</v>
      </c>
      <c r="V49" s="748"/>
      <c r="W49" s="745"/>
      <c r="X49" s="745"/>
      <c r="Y49" s="745"/>
      <c r="Z49" s="748"/>
      <c r="AA49" s="751"/>
      <c r="AB49" s="749">
        <f t="shared" si="30"/>
        <v>5.5713463444749705</v>
      </c>
      <c r="AC49" s="750"/>
      <c r="AD49" s="748"/>
      <c r="AE49" s="748"/>
      <c r="AF49" s="748"/>
      <c r="AG49" s="748"/>
      <c r="AH49" s="748"/>
      <c r="AI49" s="748">
        <v>5.3594738186126225</v>
      </c>
      <c r="AJ49" s="748">
        <v>0.21187252586234828</v>
      </c>
      <c r="AK49" s="747"/>
      <c r="AL49" s="745"/>
      <c r="AM49" s="748"/>
      <c r="AN49" s="746"/>
      <c r="AO49" s="751"/>
      <c r="AP49" s="749"/>
      <c r="AQ49" s="752">
        <f t="shared" si="13"/>
        <v>137.42368455991922</v>
      </c>
      <c r="AS49" s="4"/>
    </row>
    <row r="50" spans="1:45" s="3" customFormat="1" ht="12.75" customHeight="1">
      <c r="A50" s="884" t="s">
        <v>181</v>
      </c>
      <c r="B50" s="741"/>
      <c r="C50" s="742">
        <f t="shared" si="27"/>
        <v>0</v>
      </c>
      <c r="D50" s="743"/>
      <c r="E50" s="753"/>
      <c r="F50" s="745"/>
      <c r="G50" s="745"/>
      <c r="H50" s="746">
        <f t="shared" si="28"/>
        <v>0</v>
      </c>
      <c r="I50" s="747"/>
      <c r="J50" s="748"/>
      <c r="K50" s="748"/>
      <c r="L50" s="746">
        <f t="shared" si="29"/>
        <v>38.043221783939138</v>
      </c>
      <c r="M50" s="748"/>
      <c r="N50" s="748"/>
      <c r="O50" s="748"/>
      <c r="P50" s="748"/>
      <c r="Q50" s="748"/>
      <c r="R50" s="907"/>
      <c r="S50" s="748"/>
      <c r="T50" s="748"/>
      <c r="U50" s="748">
        <v>38.043221783939138</v>
      </c>
      <c r="V50" s="748"/>
      <c r="W50" s="745"/>
      <c r="X50" s="745"/>
      <c r="Y50" s="745"/>
      <c r="Z50" s="748"/>
      <c r="AA50" s="751"/>
      <c r="AB50" s="749">
        <f t="shared" si="30"/>
        <v>0</v>
      </c>
      <c r="AC50" s="750"/>
      <c r="AD50" s="748"/>
      <c r="AE50" s="748"/>
      <c r="AF50" s="748"/>
      <c r="AG50" s="748"/>
      <c r="AH50" s="748"/>
      <c r="AI50" s="748">
        <v>0</v>
      </c>
      <c r="AJ50" s="748"/>
      <c r="AK50" s="747"/>
      <c r="AL50" s="745"/>
      <c r="AM50" s="748"/>
      <c r="AN50" s="746"/>
      <c r="AO50" s="751">
        <v>4.30809088</v>
      </c>
      <c r="AP50" s="749"/>
      <c r="AQ50" s="752">
        <f t="shared" si="13"/>
        <v>42.35131266393914</v>
      </c>
      <c r="AS50" s="4"/>
    </row>
    <row r="51" spans="1:45" s="3" customFormat="1" ht="12.75" customHeight="1">
      <c r="A51" s="884" t="s">
        <v>182</v>
      </c>
      <c r="B51" s="741"/>
      <c r="C51" s="742">
        <f t="shared" si="27"/>
        <v>0</v>
      </c>
      <c r="D51" s="743"/>
      <c r="E51" s="753"/>
      <c r="F51" s="745"/>
      <c r="G51" s="745"/>
      <c r="H51" s="746">
        <f t="shared" si="28"/>
        <v>0</v>
      </c>
      <c r="I51" s="747"/>
      <c r="J51" s="748"/>
      <c r="K51" s="748"/>
      <c r="L51" s="746">
        <f t="shared" si="29"/>
        <v>5.5768892778871404</v>
      </c>
      <c r="M51" s="748"/>
      <c r="N51" s="748"/>
      <c r="O51" s="748"/>
      <c r="P51" s="748">
        <v>0.66818888888888883</v>
      </c>
      <c r="Q51" s="748"/>
      <c r="R51" s="748">
        <v>4.9087003889982519</v>
      </c>
      <c r="S51" s="748"/>
      <c r="T51" s="748"/>
      <c r="U51" s="748"/>
      <c r="V51" s="748"/>
      <c r="W51" s="745"/>
      <c r="X51" s="745"/>
      <c r="Y51" s="745"/>
      <c r="Z51" s="748"/>
      <c r="AA51" s="751"/>
      <c r="AB51" s="749">
        <f t="shared" si="30"/>
        <v>0</v>
      </c>
      <c r="AC51" s="750"/>
      <c r="AD51" s="748"/>
      <c r="AE51" s="748"/>
      <c r="AF51" s="748"/>
      <c r="AG51" s="748"/>
      <c r="AH51" s="748"/>
      <c r="AI51" s="748"/>
      <c r="AJ51" s="748"/>
      <c r="AK51" s="747"/>
      <c r="AL51" s="745"/>
      <c r="AM51" s="748"/>
      <c r="AN51" s="746"/>
      <c r="AO51" s="751"/>
      <c r="AP51" s="749"/>
      <c r="AQ51" s="752">
        <f t="shared" si="13"/>
        <v>5.5768892778871404</v>
      </c>
      <c r="AS51" s="4"/>
    </row>
    <row r="52" spans="1:45" s="3" customFormat="1" ht="12.75" customHeight="1">
      <c r="A52" s="884" t="s">
        <v>183</v>
      </c>
      <c r="B52" s="888"/>
      <c r="C52" s="908">
        <f t="shared" si="27"/>
        <v>0</v>
      </c>
      <c r="D52" s="907"/>
      <c r="E52" s="907"/>
      <c r="F52" s="909"/>
      <c r="G52" s="909"/>
      <c r="H52" s="910">
        <f t="shared" si="28"/>
        <v>0</v>
      </c>
      <c r="I52" s="911"/>
      <c r="J52" s="907"/>
      <c r="K52" s="907"/>
      <c r="L52" s="910">
        <f t="shared" si="29"/>
        <v>1097.1586093062015</v>
      </c>
      <c r="M52" s="907"/>
      <c r="N52" s="907"/>
      <c r="O52" s="907"/>
      <c r="P52" s="798"/>
      <c r="Q52" s="907"/>
      <c r="R52" s="907">
        <v>1097.1586093062015</v>
      </c>
      <c r="S52" s="907"/>
      <c r="T52" s="907"/>
      <c r="U52" s="907"/>
      <c r="V52" s="907"/>
      <c r="W52" s="909"/>
      <c r="X52" s="909"/>
      <c r="Y52" s="909"/>
      <c r="Z52" s="907"/>
      <c r="AA52" s="889"/>
      <c r="AB52" s="912">
        <f t="shared" si="30"/>
        <v>0</v>
      </c>
      <c r="AC52" s="913"/>
      <c r="AD52" s="907"/>
      <c r="AE52" s="907"/>
      <c r="AF52" s="907"/>
      <c r="AG52" s="907"/>
      <c r="AH52" s="907"/>
      <c r="AI52" s="907"/>
      <c r="AJ52" s="907"/>
      <c r="AK52" s="880"/>
      <c r="AL52" s="881"/>
      <c r="AM52" s="907"/>
      <c r="AN52" s="889"/>
      <c r="AO52" s="889"/>
      <c r="AP52" s="912"/>
      <c r="AQ52" s="914">
        <f t="shared" si="13"/>
        <v>1097.1586093062015</v>
      </c>
      <c r="AS52" s="4"/>
    </row>
    <row r="53" spans="1:45" s="3" customFormat="1" ht="12.75" customHeight="1">
      <c r="A53" s="884" t="s">
        <v>184</v>
      </c>
      <c r="B53" s="888"/>
      <c r="C53" s="908">
        <f t="shared" si="27"/>
        <v>0</v>
      </c>
      <c r="D53" s="911"/>
      <c r="E53" s="907"/>
      <c r="F53" s="909"/>
      <c r="G53" s="909"/>
      <c r="H53" s="910">
        <f t="shared" si="28"/>
        <v>0</v>
      </c>
      <c r="I53" s="911"/>
      <c r="J53" s="907"/>
      <c r="K53" s="907"/>
      <c r="L53" s="910">
        <f t="shared" si="29"/>
        <v>176.94052908505745</v>
      </c>
      <c r="M53" s="907"/>
      <c r="N53" s="907"/>
      <c r="O53" s="907"/>
      <c r="P53" s="907">
        <v>0</v>
      </c>
      <c r="Q53" s="907"/>
      <c r="R53" s="907"/>
      <c r="S53" s="907"/>
      <c r="T53" s="907"/>
      <c r="U53" s="907">
        <v>176.94052908505745</v>
      </c>
      <c r="V53" s="907"/>
      <c r="W53" s="909"/>
      <c r="X53" s="909"/>
      <c r="Y53" s="909"/>
      <c r="Z53" s="907"/>
      <c r="AA53" s="889"/>
      <c r="AB53" s="912">
        <f t="shared" si="30"/>
        <v>7.5577223843887342</v>
      </c>
      <c r="AC53" s="913"/>
      <c r="AD53" s="907"/>
      <c r="AE53" s="907"/>
      <c r="AF53" s="907"/>
      <c r="AG53" s="907"/>
      <c r="AH53" s="907"/>
      <c r="AI53" s="748">
        <v>7.5577223843887342</v>
      </c>
      <c r="AJ53" s="748">
        <v>0</v>
      </c>
      <c r="AK53" s="907"/>
      <c r="AL53" s="907"/>
      <c r="AM53" s="907"/>
      <c r="AN53" s="889"/>
      <c r="AO53" s="751"/>
      <c r="AP53" s="912"/>
      <c r="AQ53" s="914">
        <f t="shared" si="13"/>
        <v>184.49825146944619</v>
      </c>
      <c r="AS53" s="4"/>
    </row>
    <row r="54" spans="1:45" s="3" customFormat="1" ht="12.75" customHeight="1">
      <c r="A54" s="740" t="s">
        <v>185</v>
      </c>
      <c r="B54" s="741"/>
      <c r="C54" s="908">
        <f t="shared" si="27"/>
        <v>0</v>
      </c>
      <c r="D54" s="911"/>
      <c r="E54" s="907"/>
      <c r="F54" s="909"/>
      <c r="G54" s="909"/>
      <c r="H54" s="910">
        <f t="shared" si="28"/>
        <v>0</v>
      </c>
      <c r="I54" s="911"/>
      <c r="J54" s="907"/>
      <c r="K54" s="907"/>
      <c r="L54" s="910">
        <f t="shared" si="29"/>
        <v>83.913724293678101</v>
      </c>
      <c r="M54" s="907"/>
      <c r="N54" s="907"/>
      <c r="O54" s="907"/>
      <c r="P54" s="907"/>
      <c r="Q54" s="907"/>
      <c r="R54" s="907"/>
      <c r="S54" s="907"/>
      <c r="T54" s="907"/>
      <c r="U54" s="907">
        <v>83.913724293678101</v>
      </c>
      <c r="V54" s="907"/>
      <c r="W54" s="909"/>
      <c r="X54" s="909"/>
      <c r="Y54" s="909"/>
      <c r="Z54" s="907"/>
      <c r="AA54" s="847"/>
      <c r="AB54" s="912">
        <f t="shared" si="30"/>
        <v>0</v>
      </c>
      <c r="AC54" s="913"/>
      <c r="AD54" s="907"/>
      <c r="AE54" s="907"/>
      <c r="AF54" s="907"/>
      <c r="AG54" s="907"/>
      <c r="AH54" s="907"/>
      <c r="AI54" s="907"/>
      <c r="AJ54" s="907"/>
      <c r="AK54" s="907"/>
      <c r="AL54" s="907"/>
      <c r="AM54" s="907"/>
      <c r="AN54" s="847"/>
      <c r="AO54" s="889"/>
      <c r="AP54" s="912"/>
      <c r="AQ54" s="914">
        <f t="shared" si="13"/>
        <v>83.913724293678101</v>
      </c>
      <c r="AS54" s="4"/>
    </row>
    <row r="55" spans="1:45" s="3" customFormat="1" ht="12.75" customHeight="1">
      <c r="A55" s="799" t="s">
        <v>186</v>
      </c>
      <c r="B55" s="800"/>
      <c r="C55" s="801">
        <f t="shared" si="27"/>
        <v>0</v>
      </c>
      <c r="D55" s="915"/>
      <c r="E55" s="916"/>
      <c r="F55" s="804"/>
      <c r="G55" s="804"/>
      <c r="H55" s="805">
        <f t="shared" si="28"/>
        <v>0</v>
      </c>
      <c r="I55" s="802"/>
      <c r="J55" s="803"/>
      <c r="K55" s="803"/>
      <c r="L55" s="805">
        <f t="shared" si="29"/>
        <v>478.67565344603031</v>
      </c>
      <c r="M55" s="803"/>
      <c r="N55" s="803"/>
      <c r="O55" s="803"/>
      <c r="P55" s="803">
        <v>140.69069390787573</v>
      </c>
      <c r="Q55" s="803"/>
      <c r="R55" s="803"/>
      <c r="S55" s="803">
        <v>0</v>
      </c>
      <c r="T55" s="803"/>
      <c r="U55" s="803">
        <v>337.98495953815461</v>
      </c>
      <c r="V55" s="803"/>
      <c r="W55" s="804"/>
      <c r="X55" s="804"/>
      <c r="Y55" s="804"/>
      <c r="Z55" s="803"/>
      <c r="AA55" s="808">
        <v>22.531112229915806</v>
      </c>
      <c r="AB55" s="806">
        <f t="shared" si="30"/>
        <v>19.110879685596952</v>
      </c>
      <c r="AC55" s="807"/>
      <c r="AD55" s="803"/>
      <c r="AE55" s="803"/>
      <c r="AF55" s="803"/>
      <c r="AG55" s="803"/>
      <c r="AH55" s="803"/>
      <c r="AI55" s="803">
        <v>14.436469176941943</v>
      </c>
      <c r="AJ55" s="803">
        <v>4.6744105086550087</v>
      </c>
      <c r="AK55" s="802"/>
      <c r="AL55" s="804"/>
      <c r="AM55" s="803"/>
      <c r="AN55" s="805"/>
      <c r="AO55" s="808"/>
      <c r="AP55" s="806"/>
      <c r="AQ55" s="809">
        <f t="shared" si="13"/>
        <v>520.3176453615431</v>
      </c>
      <c r="AS55" s="4"/>
    </row>
    <row r="56" spans="1:45" s="31" customFormat="1" ht="12.75" customHeight="1">
      <c r="A56" s="101" t="s">
        <v>1</v>
      </c>
      <c r="B56" s="918"/>
      <c r="C56" s="919">
        <f t="shared" si="27"/>
        <v>245.30288163122782</v>
      </c>
      <c r="D56" s="920">
        <v>84.19758326883435</v>
      </c>
      <c r="E56" s="744">
        <v>153.30941368399715</v>
      </c>
      <c r="F56" s="921"/>
      <c r="G56" s="921">
        <v>7.795884678396293</v>
      </c>
      <c r="H56" s="922">
        <f t="shared" si="28"/>
        <v>196.53880633</v>
      </c>
      <c r="I56" s="920"/>
      <c r="J56" s="819">
        <v>127.70399999999999</v>
      </c>
      <c r="K56" s="819">
        <v>68.834806329999992</v>
      </c>
      <c r="L56" s="922">
        <f t="shared" si="29"/>
        <v>1204.833103126648</v>
      </c>
      <c r="M56" s="819"/>
      <c r="N56" s="819"/>
      <c r="O56" s="819"/>
      <c r="P56" s="819">
        <v>0</v>
      </c>
      <c r="Q56" s="819">
        <v>863.40024232349867</v>
      </c>
      <c r="R56" s="819"/>
      <c r="S56" s="819">
        <v>0</v>
      </c>
      <c r="T56" s="819">
        <v>53.841522983216713</v>
      </c>
      <c r="U56" s="819">
        <v>284.08105108362315</v>
      </c>
      <c r="V56" s="819">
        <v>3.5102867363093639</v>
      </c>
      <c r="W56" s="921"/>
      <c r="X56" s="921"/>
      <c r="Y56" s="921"/>
      <c r="Z56" s="819"/>
      <c r="AA56" s="922">
        <v>604.09375845912712</v>
      </c>
      <c r="AB56" s="923">
        <f t="shared" si="30"/>
        <v>72.095627568998594</v>
      </c>
      <c r="AC56" s="924"/>
      <c r="AD56" s="819"/>
      <c r="AE56" s="819">
        <v>30.588864173321877</v>
      </c>
      <c r="AF56" s="819"/>
      <c r="AG56" s="819"/>
      <c r="AH56" s="819"/>
      <c r="AI56" s="819"/>
      <c r="AJ56" s="819"/>
      <c r="AK56" s="920"/>
      <c r="AL56" s="921">
        <v>13.379590942008413</v>
      </c>
      <c r="AM56" s="819">
        <v>28.127172453668308</v>
      </c>
      <c r="AN56" s="922"/>
      <c r="AO56" s="922">
        <v>702.94473599999992</v>
      </c>
      <c r="AP56" s="923"/>
      <c r="AQ56" s="820">
        <f t="shared" si="13"/>
        <v>3025.8089131160013</v>
      </c>
      <c r="AR56" s="29"/>
      <c r="AS56" s="30"/>
    </row>
    <row r="57" spans="1:45" s="6" customFormat="1" ht="12.75" customHeight="1">
      <c r="A57" s="917" t="s">
        <v>980</v>
      </c>
      <c r="B57" s="918"/>
      <c r="C57" s="919">
        <f>C58+C65</f>
        <v>0.53991879699248124</v>
      </c>
      <c r="D57" s="819">
        <f t="shared" ref="D57:AP57" si="31">D58+D65</f>
        <v>0.53991879699248124</v>
      </c>
      <c r="E57" s="819">
        <f t="shared" si="31"/>
        <v>0</v>
      </c>
      <c r="F57" s="921">
        <f t="shared" si="31"/>
        <v>0</v>
      </c>
      <c r="G57" s="921">
        <f t="shared" si="31"/>
        <v>0</v>
      </c>
      <c r="H57" s="922">
        <f t="shared" si="31"/>
        <v>0</v>
      </c>
      <c r="I57" s="920">
        <f t="shared" si="31"/>
        <v>0</v>
      </c>
      <c r="J57" s="920">
        <f t="shared" si="31"/>
        <v>0</v>
      </c>
      <c r="K57" s="920">
        <f t="shared" si="31"/>
        <v>0</v>
      </c>
      <c r="L57" s="922">
        <f t="shared" si="31"/>
        <v>263.55542937744985</v>
      </c>
      <c r="M57" s="819">
        <f t="shared" si="31"/>
        <v>0</v>
      </c>
      <c r="N57" s="819">
        <f t="shared" si="31"/>
        <v>0</v>
      </c>
      <c r="O57" s="819">
        <f t="shared" si="31"/>
        <v>0</v>
      </c>
      <c r="P57" s="819">
        <f t="shared" si="31"/>
        <v>0</v>
      </c>
      <c r="Q57" s="819">
        <f t="shared" si="31"/>
        <v>73.683977149948603</v>
      </c>
      <c r="R57" s="819">
        <f t="shared" si="31"/>
        <v>0</v>
      </c>
      <c r="S57" s="819">
        <f t="shared" si="31"/>
        <v>0.64284746861564912</v>
      </c>
      <c r="T57" s="819">
        <f t="shared" si="31"/>
        <v>69.72090857001308</v>
      </c>
      <c r="U57" s="819">
        <f t="shared" si="31"/>
        <v>119.50730406570531</v>
      </c>
      <c r="V57" s="819">
        <f t="shared" si="31"/>
        <v>3.9212316723240829E-4</v>
      </c>
      <c r="W57" s="921">
        <f t="shared" si="31"/>
        <v>0</v>
      </c>
      <c r="X57" s="921">
        <f t="shared" si="31"/>
        <v>0</v>
      </c>
      <c r="Y57" s="921">
        <f t="shared" si="31"/>
        <v>0</v>
      </c>
      <c r="Z57" s="920">
        <f t="shared" si="31"/>
        <v>0</v>
      </c>
      <c r="AA57" s="922">
        <f t="shared" si="31"/>
        <v>397.69184770224592</v>
      </c>
      <c r="AB57" s="923">
        <f t="shared" si="31"/>
        <v>41.379323582548558</v>
      </c>
      <c r="AC57" s="924">
        <f t="shared" si="31"/>
        <v>0</v>
      </c>
      <c r="AD57" s="819">
        <f t="shared" si="31"/>
        <v>0</v>
      </c>
      <c r="AE57" s="819">
        <f t="shared" si="31"/>
        <v>17.99312324724</v>
      </c>
      <c r="AF57" s="819">
        <f t="shared" si="31"/>
        <v>0</v>
      </c>
      <c r="AG57" s="819">
        <f t="shared" si="31"/>
        <v>0</v>
      </c>
      <c r="AH57" s="819">
        <f t="shared" si="31"/>
        <v>7.541555368675982</v>
      </c>
      <c r="AI57" s="819">
        <f t="shared" si="31"/>
        <v>0</v>
      </c>
      <c r="AJ57" s="819">
        <f t="shared" si="31"/>
        <v>0</v>
      </c>
      <c r="AK57" s="819">
        <f t="shared" si="31"/>
        <v>0</v>
      </c>
      <c r="AL57" s="819">
        <f t="shared" si="31"/>
        <v>0.16649466165720572</v>
      </c>
      <c r="AM57" s="920">
        <f t="shared" si="31"/>
        <v>15.678150304975372</v>
      </c>
      <c r="AN57" s="922">
        <f t="shared" si="31"/>
        <v>0</v>
      </c>
      <c r="AO57" s="922">
        <f t="shared" si="31"/>
        <v>1019.3925755397834</v>
      </c>
      <c r="AP57" s="923">
        <f t="shared" si="31"/>
        <v>0</v>
      </c>
      <c r="AQ57" s="925">
        <f t="shared" si="13"/>
        <v>1722.5590949990201</v>
      </c>
      <c r="AR57" s="3"/>
      <c r="AS57" s="27"/>
    </row>
    <row r="58" spans="1:45" s="3" customFormat="1" ht="12.75" customHeight="1">
      <c r="A58" s="101" t="s">
        <v>981</v>
      </c>
      <c r="B58" s="918"/>
      <c r="C58" s="919">
        <f t="shared" si="27"/>
        <v>0.53991879699248124</v>
      </c>
      <c r="D58" s="924">
        <v>0.53991879699248124</v>
      </c>
      <c r="E58" s="923">
        <v>0</v>
      </c>
      <c r="F58" s="923">
        <f>SUM(F59:F64)</f>
        <v>0</v>
      </c>
      <c r="G58" s="926">
        <v>0</v>
      </c>
      <c r="H58" s="922">
        <f t="shared" si="28"/>
        <v>0</v>
      </c>
      <c r="I58" s="920">
        <f>SUM(I59:I64)</f>
        <v>0</v>
      </c>
      <c r="J58" s="920">
        <f>SUM(J59:J64)</f>
        <v>0</v>
      </c>
      <c r="K58" s="920">
        <f>SUM(K59:K64)</f>
        <v>0</v>
      </c>
      <c r="L58" s="922">
        <f t="shared" si="29"/>
        <v>123.39297948584372</v>
      </c>
      <c r="M58" s="819">
        <f t="shared" ref="M58:AN58" si="32">SUM(M59:M64)</f>
        <v>0</v>
      </c>
      <c r="N58" s="921">
        <f t="shared" si="32"/>
        <v>0</v>
      </c>
      <c r="O58" s="921">
        <f t="shared" si="32"/>
        <v>0</v>
      </c>
      <c r="P58" s="923">
        <f t="shared" si="32"/>
        <v>0</v>
      </c>
      <c r="Q58" s="923">
        <v>25.817592108194308</v>
      </c>
      <c r="R58" s="923">
        <f t="shared" si="32"/>
        <v>0</v>
      </c>
      <c r="S58" s="923">
        <v>0</v>
      </c>
      <c r="T58" s="923">
        <v>53.639757659500326</v>
      </c>
      <c r="U58" s="923">
        <v>43.935237594981864</v>
      </c>
      <c r="V58" s="923">
        <f t="shared" si="32"/>
        <v>3.9212316723240829E-4</v>
      </c>
      <c r="W58" s="923">
        <f t="shared" si="32"/>
        <v>0</v>
      </c>
      <c r="X58" s="923">
        <f t="shared" si="32"/>
        <v>0</v>
      </c>
      <c r="Y58" s="921">
        <f t="shared" si="32"/>
        <v>0</v>
      </c>
      <c r="Z58" s="920">
        <f t="shared" si="32"/>
        <v>0</v>
      </c>
      <c r="AA58" s="922">
        <v>205.61511570855646</v>
      </c>
      <c r="AB58" s="923">
        <f t="shared" si="30"/>
        <v>23.586836774290585</v>
      </c>
      <c r="AC58" s="924">
        <f t="shared" si="32"/>
        <v>0</v>
      </c>
      <c r="AD58" s="819">
        <f t="shared" si="32"/>
        <v>0</v>
      </c>
      <c r="AE58" s="819">
        <f t="shared" si="32"/>
        <v>5.0179504193776099</v>
      </c>
      <c r="AF58" s="819"/>
      <c r="AG58" s="819">
        <f t="shared" si="32"/>
        <v>0</v>
      </c>
      <c r="AH58" s="819">
        <f t="shared" si="32"/>
        <v>2.7242413882803982</v>
      </c>
      <c r="AI58" s="819">
        <f t="shared" si="32"/>
        <v>0</v>
      </c>
      <c r="AJ58" s="819">
        <f t="shared" si="32"/>
        <v>0</v>
      </c>
      <c r="AK58" s="819"/>
      <c r="AL58" s="819">
        <v>0.16649466165720572</v>
      </c>
      <c r="AM58" s="921">
        <v>15.678150304975372</v>
      </c>
      <c r="AN58" s="922">
        <f t="shared" si="32"/>
        <v>0</v>
      </c>
      <c r="AO58" s="922">
        <v>684.51532146142654</v>
      </c>
      <c r="AP58" s="923">
        <f t="shared" ref="AP58" si="33">SUM(AP59:AP64)</f>
        <v>0</v>
      </c>
      <c r="AQ58" s="925">
        <f t="shared" si="13"/>
        <v>1037.6501722271098</v>
      </c>
      <c r="AS58" s="28"/>
    </row>
    <row r="59" spans="1:45" s="16" customFormat="1" ht="12.75" customHeight="1">
      <c r="A59" s="927" t="s">
        <v>982</v>
      </c>
      <c r="B59" s="928" t="s">
        <v>983</v>
      </c>
      <c r="C59" s="789">
        <f t="shared" si="27"/>
        <v>9.9984962406015031E-3</v>
      </c>
      <c r="D59" s="929">
        <v>9.9984962406015031E-3</v>
      </c>
      <c r="E59" s="794"/>
      <c r="F59" s="794"/>
      <c r="G59" s="835"/>
      <c r="H59" s="793">
        <f t="shared" si="28"/>
        <v>0</v>
      </c>
      <c r="I59" s="903"/>
      <c r="J59" s="903"/>
      <c r="K59" s="903"/>
      <c r="L59" s="793">
        <f t="shared" si="29"/>
        <v>32.327049654868127</v>
      </c>
      <c r="M59" s="837"/>
      <c r="N59" s="930"/>
      <c r="O59" s="930"/>
      <c r="P59" s="794"/>
      <c r="Q59" s="931">
        <v>8.0278057943609493</v>
      </c>
      <c r="R59" s="794"/>
      <c r="S59" s="931">
        <v>0</v>
      </c>
      <c r="T59" s="931">
        <v>15.105482293518097</v>
      </c>
      <c r="U59" s="931">
        <v>9.19376156698908</v>
      </c>
      <c r="V59" s="931">
        <v>0</v>
      </c>
      <c r="W59" s="794"/>
      <c r="X59" s="794"/>
      <c r="Y59" s="930"/>
      <c r="Z59" s="903"/>
      <c r="AA59" s="932">
        <v>57.532573159401849</v>
      </c>
      <c r="AB59" s="794">
        <f t="shared" si="30"/>
        <v>1.2773333532141125</v>
      </c>
      <c r="AC59" s="933"/>
      <c r="AD59" s="837"/>
      <c r="AE59" s="934">
        <v>1.2773333532141125</v>
      </c>
      <c r="AF59" s="934"/>
      <c r="AG59" s="934"/>
      <c r="AH59" s="934">
        <v>0</v>
      </c>
      <c r="AI59" s="934"/>
      <c r="AJ59" s="934"/>
      <c r="AK59" s="934"/>
      <c r="AL59" s="934">
        <v>0</v>
      </c>
      <c r="AM59" s="935">
        <v>0</v>
      </c>
      <c r="AN59" s="793"/>
      <c r="AO59" s="932">
        <v>227.43297899256885</v>
      </c>
      <c r="AP59" s="794"/>
      <c r="AQ59" s="936">
        <f t="shared" si="13"/>
        <v>318.57993365629352</v>
      </c>
      <c r="AS59" s="28"/>
    </row>
    <row r="60" spans="1:45" s="16" customFormat="1" ht="12.75" customHeight="1">
      <c r="A60" s="927" t="s">
        <v>984</v>
      </c>
      <c r="B60" s="928" t="s">
        <v>985</v>
      </c>
      <c r="C60" s="742">
        <f t="shared" si="27"/>
        <v>1.0998345864661654E-2</v>
      </c>
      <c r="D60" s="929">
        <v>1.0998345864661654E-2</v>
      </c>
      <c r="E60" s="749"/>
      <c r="F60" s="749"/>
      <c r="G60" s="937"/>
      <c r="H60" s="746">
        <f t="shared" si="28"/>
        <v>0</v>
      </c>
      <c r="I60" s="743"/>
      <c r="J60" s="743"/>
      <c r="K60" s="743"/>
      <c r="L60" s="746">
        <f t="shared" si="29"/>
        <v>24.137833390343388</v>
      </c>
      <c r="M60" s="753"/>
      <c r="N60" s="744"/>
      <c r="O60" s="744"/>
      <c r="P60" s="749"/>
      <c r="Q60" s="931">
        <v>5.3543303518790886</v>
      </c>
      <c r="R60" s="749"/>
      <c r="S60" s="931">
        <v>0</v>
      </c>
      <c r="T60" s="931">
        <v>5.393987425308894</v>
      </c>
      <c r="U60" s="931">
        <v>13.389515613155407</v>
      </c>
      <c r="V60" s="931">
        <v>0</v>
      </c>
      <c r="W60" s="749"/>
      <c r="X60" s="749"/>
      <c r="Y60" s="744"/>
      <c r="Z60" s="743"/>
      <c r="AA60" s="932">
        <v>17.076846566169994</v>
      </c>
      <c r="AB60" s="749">
        <f t="shared" si="30"/>
        <v>6.7770858417357749E-2</v>
      </c>
      <c r="AC60" s="938"/>
      <c r="AD60" s="753"/>
      <c r="AE60" s="939">
        <v>6.7770858417357749E-2</v>
      </c>
      <c r="AF60" s="939"/>
      <c r="AG60" s="939"/>
      <c r="AH60" s="939">
        <v>0</v>
      </c>
      <c r="AI60" s="939"/>
      <c r="AJ60" s="939"/>
      <c r="AK60" s="939"/>
      <c r="AL60" s="939">
        <v>0</v>
      </c>
      <c r="AM60" s="940">
        <v>0</v>
      </c>
      <c r="AN60" s="746"/>
      <c r="AO60" s="932">
        <v>69.841724309024471</v>
      </c>
      <c r="AP60" s="749"/>
      <c r="AQ60" s="941">
        <f t="shared" si="13"/>
        <v>111.13517346981988</v>
      </c>
      <c r="AS60" s="28"/>
    </row>
    <row r="61" spans="1:45" s="16" customFormat="1" ht="12.75" customHeight="1">
      <c r="A61" s="927" t="s">
        <v>986</v>
      </c>
      <c r="B61" s="928" t="s">
        <v>987</v>
      </c>
      <c r="C61" s="742">
        <f t="shared" si="27"/>
        <v>0.48392721804511274</v>
      </c>
      <c r="D61" s="929">
        <v>0.48392721804511274</v>
      </c>
      <c r="E61" s="749"/>
      <c r="F61" s="749"/>
      <c r="G61" s="937"/>
      <c r="H61" s="746">
        <f t="shared" si="28"/>
        <v>0</v>
      </c>
      <c r="I61" s="743"/>
      <c r="J61" s="743"/>
      <c r="K61" s="743"/>
      <c r="L61" s="746">
        <f t="shared" si="29"/>
        <v>31.333616383670492</v>
      </c>
      <c r="M61" s="753"/>
      <c r="N61" s="744"/>
      <c r="O61" s="744"/>
      <c r="P61" s="749"/>
      <c r="Q61" s="931">
        <v>4.9790317487546645</v>
      </c>
      <c r="R61" s="749"/>
      <c r="S61" s="931">
        <v>0</v>
      </c>
      <c r="T61" s="931">
        <v>19.202826984364982</v>
      </c>
      <c r="U61" s="931">
        <v>7.1517576505508451</v>
      </c>
      <c r="V61" s="931">
        <v>0</v>
      </c>
      <c r="W61" s="749"/>
      <c r="X61" s="749"/>
      <c r="Y61" s="744"/>
      <c r="Z61" s="743"/>
      <c r="AA61" s="932">
        <v>37.147190784142389</v>
      </c>
      <c r="AB61" s="749">
        <f t="shared" si="30"/>
        <v>2.1318354810851448</v>
      </c>
      <c r="AC61" s="938"/>
      <c r="AD61" s="753"/>
      <c r="AE61" s="939">
        <v>2.1318354810851448</v>
      </c>
      <c r="AF61" s="939"/>
      <c r="AG61" s="939"/>
      <c r="AH61" s="939">
        <v>0</v>
      </c>
      <c r="AI61" s="939"/>
      <c r="AJ61" s="939"/>
      <c r="AK61" s="939"/>
      <c r="AL61" s="939">
        <v>0</v>
      </c>
      <c r="AM61" s="940">
        <v>0</v>
      </c>
      <c r="AN61" s="746"/>
      <c r="AO61" s="932">
        <v>87.896378653102275</v>
      </c>
      <c r="AP61" s="749"/>
      <c r="AQ61" s="941">
        <f t="shared" si="13"/>
        <v>158.99294852004542</v>
      </c>
      <c r="AS61" s="28"/>
    </row>
    <row r="62" spans="1:45" s="16" customFormat="1" ht="12.75" customHeight="1">
      <c r="A62" s="927" t="s">
        <v>988</v>
      </c>
      <c r="B62" s="928" t="s">
        <v>989</v>
      </c>
      <c r="C62" s="742">
        <f t="shared" si="27"/>
        <v>0</v>
      </c>
      <c r="D62" s="929">
        <v>0</v>
      </c>
      <c r="E62" s="749"/>
      <c r="F62" s="749"/>
      <c r="G62" s="937"/>
      <c r="H62" s="746">
        <f t="shared" si="28"/>
        <v>0</v>
      </c>
      <c r="I62" s="743"/>
      <c r="J62" s="743"/>
      <c r="K62" s="743"/>
      <c r="L62" s="746">
        <f t="shared" si="29"/>
        <v>5.4379501694305112</v>
      </c>
      <c r="M62" s="753"/>
      <c r="N62" s="744"/>
      <c r="O62" s="744"/>
      <c r="P62" s="749"/>
      <c r="Q62" s="931">
        <v>1.5602301478206442</v>
      </c>
      <c r="R62" s="749"/>
      <c r="S62" s="931">
        <v>0</v>
      </c>
      <c r="T62" s="931">
        <v>1.6396331271347122</v>
      </c>
      <c r="U62" s="931">
        <v>2.2380868944751544</v>
      </c>
      <c r="V62" s="931">
        <v>0</v>
      </c>
      <c r="W62" s="749"/>
      <c r="X62" s="749"/>
      <c r="Y62" s="744"/>
      <c r="Z62" s="743"/>
      <c r="AA62" s="932">
        <v>9.7954001243574229</v>
      </c>
      <c r="AB62" s="749">
        <f t="shared" si="30"/>
        <v>3.8305267801115254E-2</v>
      </c>
      <c r="AC62" s="938"/>
      <c r="AD62" s="753"/>
      <c r="AE62" s="939">
        <v>3.8305267801115254E-2</v>
      </c>
      <c r="AF62" s="939"/>
      <c r="AG62" s="939"/>
      <c r="AH62" s="939">
        <v>0</v>
      </c>
      <c r="AI62" s="939"/>
      <c r="AJ62" s="939"/>
      <c r="AK62" s="939"/>
      <c r="AL62" s="939">
        <v>0</v>
      </c>
      <c r="AM62" s="940">
        <v>0</v>
      </c>
      <c r="AN62" s="746"/>
      <c r="AO62" s="932">
        <v>168.21982573047418</v>
      </c>
      <c r="AP62" s="749"/>
      <c r="AQ62" s="941">
        <f t="shared" si="13"/>
        <v>183.49148129206324</v>
      </c>
      <c r="AS62" s="28"/>
    </row>
    <row r="63" spans="1:45" s="16" customFormat="1" ht="12.75" customHeight="1">
      <c r="A63" s="927" t="s">
        <v>990</v>
      </c>
      <c r="B63" s="928" t="s">
        <v>991</v>
      </c>
      <c r="C63" s="742">
        <f t="shared" si="27"/>
        <v>3.4994736842105266E-2</v>
      </c>
      <c r="D63" s="942">
        <v>3.4994736842105266E-2</v>
      </c>
      <c r="E63" s="749"/>
      <c r="F63" s="749"/>
      <c r="G63" s="937"/>
      <c r="H63" s="746">
        <f t="shared" si="28"/>
        <v>0</v>
      </c>
      <c r="I63" s="743"/>
      <c r="J63" s="743"/>
      <c r="K63" s="743"/>
      <c r="L63" s="746">
        <f t="shared" si="29"/>
        <v>2.5994355613729017</v>
      </c>
      <c r="M63" s="753"/>
      <c r="N63" s="744"/>
      <c r="O63" s="744"/>
      <c r="P63" s="749"/>
      <c r="Q63" s="943">
        <v>0.92243336442098911</v>
      </c>
      <c r="R63" s="749"/>
      <c r="S63" s="943">
        <v>0</v>
      </c>
      <c r="T63" s="943">
        <v>0.18424146092891816</v>
      </c>
      <c r="U63" s="943">
        <v>1.4927607360229946</v>
      </c>
      <c r="V63" s="943">
        <v>0</v>
      </c>
      <c r="W63" s="749"/>
      <c r="X63" s="749"/>
      <c r="Y63" s="744"/>
      <c r="Z63" s="743"/>
      <c r="AA63" s="944">
        <v>15.333339022313094</v>
      </c>
      <c r="AB63" s="749">
        <f t="shared" si="30"/>
        <v>0</v>
      </c>
      <c r="AC63" s="938"/>
      <c r="AD63" s="753"/>
      <c r="AE63" s="939">
        <v>0</v>
      </c>
      <c r="AF63" s="939"/>
      <c r="AG63" s="939"/>
      <c r="AH63" s="939">
        <v>0</v>
      </c>
      <c r="AI63" s="939"/>
      <c r="AJ63" s="939"/>
      <c r="AK63" s="939"/>
      <c r="AL63" s="939">
        <v>0</v>
      </c>
      <c r="AM63" s="940">
        <v>0</v>
      </c>
      <c r="AN63" s="746"/>
      <c r="AO63" s="944">
        <v>37.594013086148287</v>
      </c>
      <c r="AP63" s="749"/>
      <c r="AQ63" s="941">
        <f t="shared" si="13"/>
        <v>55.561782406676386</v>
      </c>
      <c r="AS63" s="28"/>
    </row>
    <row r="64" spans="1:45" s="16" customFormat="1" ht="12.75" customHeight="1">
      <c r="A64" s="945" t="s">
        <v>992</v>
      </c>
      <c r="B64" s="946"/>
      <c r="C64" s="801">
        <f t="shared" si="27"/>
        <v>0</v>
      </c>
      <c r="D64" s="942">
        <v>0</v>
      </c>
      <c r="E64" s="806"/>
      <c r="F64" s="806"/>
      <c r="G64" s="947"/>
      <c r="H64" s="805">
        <f t="shared" si="28"/>
        <v>0</v>
      </c>
      <c r="I64" s="915"/>
      <c r="J64" s="915"/>
      <c r="K64" s="915"/>
      <c r="L64" s="805">
        <f t="shared" si="29"/>
        <v>27.557094326158314</v>
      </c>
      <c r="M64" s="916"/>
      <c r="N64" s="948"/>
      <c r="O64" s="948"/>
      <c r="P64" s="806"/>
      <c r="Q64" s="943">
        <v>4.9737607009579721</v>
      </c>
      <c r="R64" s="806"/>
      <c r="S64" s="943">
        <v>0</v>
      </c>
      <c r="T64" s="943">
        <v>12.11358636824472</v>
      </c>
      <c r="U64" s="943">
        <v>10.469355133788389</v>
      </c>
      <c r="V64" s="943">
        <v>3.9212316723240829E-4</v>
      </c>
      <c r="W64" s="806"/>
      <c r="X64" s="806"/>
      <c r="Y64" s="948"/>
      <c r="Z64" s="915"/>
      <c r="AA64" s="944">
        <v>68.729766052171726</v>
      </c>
      <c r="AB64" s="806">
        <f t="shared" si="30"/>
        <v>20.071591813772855</v>
      </c>
      <c r="AC64" s="949"/>
      <c r="AD64" s="916"/>
      <c r="AE64" s="950">
        <v>1.5027054588598796</v>
      </c>
      <c r="AF64" s="950"/>
      <c r="AG64" s="950"/>
      <c r="AH64" s="950">
        <v>2.7242413882803982</v>
      </c>
      <c r="AI64" s="950"/>
      <c r="AJ64" s="950"/>
      <c r="AK64" s="950"/>
      <c r="AL64" s="950">
        <v>0.16649466165720572</v>
      </c>
      <c r="AM64" s="951">
        <v>15.678150304975372</v>
      </c>
      <c r="AN64" s="805"/>
      <c r="AO64" s="944">
        <v>93.530400690108436</v>
      </c>
      <c r="AP64" s="806"/>
      <c r="AQ64" s="952">
        <f t="shared" si="13"/>
        <v>209.88885288221132</v>
      </c>
      <c r="AS64" s="28"/>
    </row>
    <row r="65" spans="1:45" s="3" customFormat="1" ht="12.75" customHeight="1">
      <c r="A65" s="101" t="s">
        <v>993</v>
      </c>
      <c r="B65" s="918"/>
      <c r="C65" s="801">
        <f>SUM(D65:G65)</f>
        <v>0</v>
      </c>
      <c r="D65" s="924">
        <f>SUM(D66:D69)</f>
        <v>0</v>
      </c>
      <c r="E65" s="892"/>
      <c r="F65" s="892"/>
      <c r="G65" s="893"/>
      <c r="H65" s="805">
        <f>SUM(I65:K65)</f>
        <v>0</v>
      </c>
      <c r="I65" s="802"/>
      <c r="J65" s="803">
        <v>0</v>
      </c>
      <c r="K65" s="803">
        <v>0</v>
      </c>
      <c r="L65" s="805">
        <f>SUM(M65:Z65)</f>
        <v>140.16244989160612</v>
      </c>
      <c r="M65" s="803"/>
      <c r="N65" s="804"/>
      <c r="O65" s="804"/>
      <c r="P65" s="892"/>
      <c r="Q65" s="923">
        <v>47.866385041754299</v>
      </c>
      <c r="R65" s="892"/>
      <c r="S65" s="923">
        <v>0.64284746861564912</v>
      </c>
      <c r="T65" s="923">
        <v>16.081150910512747</v>
      </c>
      <c r="U65" s="923">
        <v>75.572066470723442</v>
      </c>
      <c r="V65" s="923">
        <f>SUM(V66:V69)</f>
        <v>0</v>
      </c>
      <c r="W65" s="892"/>
      <c r="X65" s="892"/>
      <c r="Y65" s="804"/>
      <c r="Z65" s="803"/>
      <c r="AA65" s="922">
        <v>192.07673199368949</v>
      </c>
      <c r="AB65" s="806">
        <f>SUM(AC65:AM65)</f>
        <v>17.792486808257973</v>
      </c>
      <c r="AC65" s="807"/>
      <c r="AD65" s="803"/>
      <c r="AE65" s="803">
        <f>SUM(AE66:AE69)</f>
        <v>12.975172827862389</v>
      </c>
      <c r="AF65" s="803"/>
      <c r="AG65" s="803"/>
      <c r="AH65" s="803">
        <v>4.8173139803955838</v>
      </c>
      <c r="AI65" s="803"/>
      <c r="AJ65" s="803"/>
      <c r="AK65" s="803"/>
      <c r="AL65" s="803"/>
      <c r="AM65" s="804"/>
      <c r="AN65" s="805"/>
      <c r="AO65" s="922">
        <v>334.87725407835688</v>
      </c>
      <c r="AP65" s="806"/>
      <c r="AQ65" s="953">
        <f t="shared" si="13"/>
        <v>684.90892277191051</v>
      </c>
      <c r="AS65" s="28"/>
    </row>
    <row r="66" spans="1:45" s="16" customFormat="1" ht="12.75" customHeight="1">
      <c r="A66" s="954" t="s">
        <v>994</v>
      </c>
      <c r="B66" s="955" t="s">
        <v>995</v>
      </c>
      <c r="C66" s="789">
        <f t="shared" ref="C66:C69" si="34">SUM(D66:G66)</f>
        <v>0</v>
      </c>
      <c r="D66" s="956">
        <v>0</v>
      </c>
      <c r="E66" s="838"/>
      <c r="F66" s="838"/>
      <c r="G66" s="957"/>
      <c r="H66" s="793">
        <f t="shared" ref="H66:H69" si="35">SUM(I66:K66)</f>
        <v>0</v>
      </c>
      <c r="I66" s="958"/>
      <c r="J66" s="791"/>
      <c r="K66" s="959"/>
      <c r="L66" s="793">
        <f t="shared" ref="L66:L69" si="36">SUM(M66:Z66)</f>
        <v>11.083842216367572</v>
      </c>
      <c r="M66" s="958"/>
      <c r="N66" s="838"/>
      <c r="O66" s="792"/>
      <c r="P66" s="838"/>
      <c r="Q66" s="960">
        <v>0.2530102942411856</v>
      </c>
      <c r="R66" s="838"/>
      <c r="S66" s="960">
        <v>0.3129380842779857</v>
      </c>
      <c r="T66" s="960">
        <v>1.0521462045500485</v>
      </c>
      <c r="U66" s="960">
        <v>9.4657476332983528</v>
      </c>
      <c r="V66" s="960">
        <v>0</v>
      </c>
      <c r="W66" s="838"/>
      <c r="X66" s="838"/>
      <c r="Y66" s="792"/>
      <c r="Z66" s="791"/>
      <c r="AA66" s="961">
        <v>8.4437848043838404</v>
      </c>
      <c r="AB66" s="794">
        <f t="shared" ref="AB66:AB69" si="37">SUM(AC66:AM66)</f>
        <v>5.4773432101994155</v>
      </c>
      <c r="AC66" s="795"/>
      <c r="AD66" s="791"/>
      <c r="AE66" s="791">
        <v>0.66002922980383205</v>
      </c>
      <c r="AF66" s="791"/>
      <c r="AG66" s="791"/>
      <c r="AH66" s="791">
        <v>4.8173139803955838</v>
      </c>
      <c r="AI66" s="791"/>
      <c r="AJ66" s="791"/>
      <c r="AK66" s="791"/>
      <c r="AL66" s="791"/>
      <c r="AM66" s="792"/>
      <c r="AN66" s="793"/>
      <c r="AO66" s="961">
        <v>55.850156928746095</v>
      </c>
      <c r="AP66" s="794"/>
      <c r="AQ66" s="821">
        <f t="shared" si="13"/>
        <v>80.85512715969692</v>
      </c>
      <c r="AS66" s="28"/>
    </row>
    <row r="67" spans="1:45" s="16" customFormat="1" ht="12.75" customHeight="1">
      <c r="A67" s="962" t="s">
        <v>996</v>
      </c>
      <c r="B67" s="963">
        <v>84</v>
      </c>
      <c r="C67" s="742">
        <f t="shared" si="34"/>
        <v>0</v>
      </c>
      <c r="D67" s="964">
        <v>0</v>
      </c>
      <c r="E67" s="886"/>
      <c r="F67" s="886"/>
      <c r="G67" s="887"/>
      <c r="H67" s="746">
        <f t="shared" si="35"/>
        <v>0</v>
      </c>
      <c r="I67" s="965"/>
      <c r="J67" s="748"/>
      <c r="K67" s="966"/>
      <c r="L67" s="746">
        <f t="shared" si="36"/>
        <v>59.95397707725251</v>
      </c>
      <c r="M67" s="965"/>
      <c r="N67" s="886"/>
      <c r="O67" s="745"/>
      <c r="P67" s="886"/>
      <c r="Q67" s="967">
        <v>11.981091641879475</v>
      </c>
      <c r="R67" s="886"/>
      <c r="S67" s="967">
        <v>0.20048339509750321</v>
      </c>
      <c r="T67" s="967">
        <v>7.85054023769447</v>
      </c>
      <c r="U67" s="967">
        <v>39.921861802581063</v>
      </c>
      <c r="V67" s="967">
        <v>0</v>
      </c>
      <c r="W67" s="886"/>
      <c r="X67" s="886"/>
      <c r="Y67" s="745"/>
      <c r="Z67" s="748"/>
      <c r="AA67" s="968">
        <v>66.187230278743982</v>
      </c>
      <c r="AB67" s="749">
        <f t="shared" si="37"/>
        <v>9.4672942649987188</v>
      </c>
      <c r="AC67" s="750"/>
      <c r="AD67" s="748"/>
      <c r="AE67" s="748">
        <v>9.4672942649987188</v>
      </c>
      <c r="AF67" s="748"/>
      <c r="AG67" s="748"/>
      <c r="AH67" s="748">
        <v>0</v>
      </c>
      <c r="AI67" s="748"/>
      <c r="AJ67" s="748"/>
      <c r="AK67" s="748"/>
      <c r="AL67" s="748"/>
      <c r="AM67" s="745"/>
      <c r="AN67" s="746"/>
      <c r="AO67" s="968">
        <v>154.30936641104071</v>
      </c>
      <c r="AP67" s="749"/>
      <c r="AQ67" s="752">
        <f t="shared" si="13"/>
        <v>289.91786803203593</v>
      </c>
      <c r="AS67" s="28"/>
    </row>
    <row r="68" spans="1:45" s="16" customFormat="1" ht="12.75" customHeight="1">
      <c r="A68" s="927" t="s">
        <v>997</v>
      </c>
      <c r="B68" s="928">
        <v>85</v>
      </c>
      <c r="C68" s="742">
        <f t="shared" si="34"/>
        <v>0</v>
      </c>
      <c r="D68" s="964">
        <v>0</v>
      </c>
      <c r="E68" s="886"/>
      <c r="F68" s="886"/>
      <c r="G68" s="887"/>
      <c r="H68" s="746">
        <f t="shared" si="35"/>
        <v>0</v>
      </c>
      <c r="I68" s="965"/>
      <c r="J68" s="748"/>
      <c r="K68" s="966"/>
      <c r="L68" s="746">
        <f t="shared" si="36"/>
        <v>42.831123161298109</v>
      </c>
      <c r="M68" s="965"/>
      <c r="N68" s="886"/>
      <c r="O68" s="745"/>
      <c r="P68" s="886"/>
      <c r="Q68" s="967">
        <v>21.281328374361724</v>
      </c>
      <c r="R68" s="886"/>
      <c r="S68" s="967">
        <v>3.2197887029108509E-2</v>
      </c>
      <c r="T68" s="967">
        <v>4.5585277188324795</v>
      </c>
      <c r="U68" s="967">
        <v>16.959069181074796</v>
      </c>
      <c r="V68" s="967">
        <v>0</v>
      </c>
      <c r="W68" s="886"/>
      <c r="X68" s="886"/>
      <c r="Y68" s="745"/>
      <c r="Z68" s="748"/>
      <c r="AA68" s="968">
        <v>53.929324235430926</v>
      </c>
      <c r="AB68" s="749">
        <f t="shared" si="37"/>
        <v>1.3804629203709615</v>
      </c>
      <c r="AC68" s="750"/>
      <c r="AD68" s="748"/>
      <c r="AE68" s="748">
        <v>1.3804629203709615</v>
      </c>
      <c r="AF68" s="748"/>
      <c r="AG68" s="748"/>
      <c r="AH68" s="748">
        <v>0</v>
      </c>
      <c r="AI68" s="748"/>
      <c r="AJ68" s="748"/>
      <c r="AK68" s="748"/>
      <c r="AL68" s="748"/>
      <c r="AM68" s="745"/>
      <c r="AN68" s="746"/>
      <c r="AO68" s="968">
        <v>74.178871141573552</v>
      </c>
      <c r="AP68" s="749"/>
      <c r="AQ68" s="752">
        <f t="shared" si="13"/>
        <v>172.31978145867356</v>
      </c>
      <c r="AS68" s="28"/>
    </row>
    <row r="69" spans="1:45" s="16" customFormat="1" ht="12.75" customHeight="1">
      <c r="A69" s="945" t="s">
        <v>998</v>
      </c>
      <c r="B69" s="946" t="s">
        <v>999</v>
      </c>
      <c r="C69" s="908">
        <f t="shared" si="34"/>
        <v>0</v>
      </c>
      <c r="D69" s="969">
        <v>0</v>
      </c>
      <c r="E69" s="892"/>
      <c r="F69" s="892"/>
      <c r="G69" s="893"/>
      <c r="H69" s="910">
        <f t="shared" si="35"/>
        <v>0</v>
      </c>
      <c r="I69" s="970"/>
      <c r="J69" s="803"/>
      <c r="K69" s="971"/>
      <c r="L69" s="910">
        <f t="shared" si="36"/>
        <v>26.293507436687939</v>
      </c>
      <c r="M69" s="970"/>
      <c r="N69" s="892"/>
      <c r="O69" s="804"/>
      <c r="P69" s="892"/>
      <c r="Q69" s="972">
        <v>14.35095473127191</v>
      </c>
      <c r="R69" s="892"/>
      <c r="S69" s="972">
        <v>9.7228102211051784E-2</v>
      </c>
      <c r="T69" s="972">
        <v>2.6199367494357482</v>
      </c>
      <c r="U69" s="972">
        <v>9.2253878537692273</v>
      </c>
      <c r="V69" s="972">
        <v>0</v>
      </c>
      <c r="W69" s="892"/>
      <c r="X69" s="892"/>
      <c r="Y69" s="804"/>
      <c r="Z69" s="803"/>
      <c r="AA69" s="973">
        <v>63.51639267513076</v>
      </c>
      <c r="AB69" s="912">
        <f t="shared" si="37"/>
        <v>1.4673864126888767</v>
      </c>
      <c r="AC69" s="913"/>
      <c r="AD69" s="907"/>
      <c r="AE69" s="907">
        <v>1.4673864126888767</v>
      </c>
      <c r="AF69" s="907"/>
      <c r="AG69" s="907"/>
      <c r="AH69" s="907">
        <v>0</v>
      </c>
      <c r="AI69" s="907"/>
      <c r="AJ69" s="907"/>
      <c r="AK69" s="907"/>
      <c r="AL69" s="907"/>
      <c r="AM69" s="909"/>
      <c r="AN69" s="910"/>
      <c r="AO69" s="973">
        <v>50.538859596996531</v>
      </c>
      <c r="AP69" s="912"/>
      <c r="AQ69" s="914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24"/>
      <c r="C70" s="825">
        <f>SUM(D70:G70)</f>
        <v>0</v>
      </c>
      <c r="D70" s="974">
        <v>0</v>
      </c>
      <c r="E70" s="975"/>
      <c r="F70" s="976"/>
      <c r="G70" s="976"/>
      <c r="H70" s="829">
        <f>SUM(I70:K70)</f>
        <v>0</v>
      </c>
      <c r="I70" s="974"/>
      <c r="J70" s="975"/>
      <c r="K70" s="975"/>
      <c r="L70" s="829">
        <f>SUM(M70:Z70)</f>
        <v>175.46549158593075</v>
      </c>
      <c r="M70" s="975"/>
      <c r="N70" s="975"/>
      <c r="O70" s="975"/>
      <c r="P70" s="975">
        <v>0</v>
      </c>
      <c r="Q70" s="975">
        <v>0</v>
      </c>
      <c r="R70" s="975"/>
      <c r="S70" s="975"/>
      <c r="T70" s="977">
        <v>0</v>
      </c>
      <c r="U70" s="975">
        <v>175.46549158593075</v>
      </c>
      <c r="V70" s="791"/>
      <c r="W70" s="976"/>
      <c r="X70" s="976"/>
      <c r="Y70" s="976"/>
      <c r="Z70" s="975"/>
      <c r="AA70" s="829">
        <v>0</v>
      </c>
      <c r="AB70" s="830">
        <f>SUM(AC70:AM70)</f>
        <v>0</v>
      </c>
      <c r="AC70" s="978"/>
      <c r="AD70" s="975"/>
      <c r="AE70" s="975"/>
      <c r="AF70" s="975"/>
      <c r="AG70" s="975"/>
      <c r="AH70" s="975"/>
      <c r="AI70" s="975"/>
      <c r="AJ70" s="975"/>
      <c r="AK70" s="974"/>
      <c r="AL70" s="976"/>
      <c r="AM70" s="975"/>
      <c r="AN70" s="829"/>
      <c r="AO70" s="829">
        <v>47.988</v>
      </c>
      <c r="AP70" s="830"/>
      <c r="AQ70" s="820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00"/>
      <c r="C71" s="801">
        <f>SUM(D71:G71)</f>
        <v>0</v>
      </c>
      <c r="D71" s="802"/>
      <c r="E71" s="803"/>
      <c r="F71" s="804"/>
      <c r="G71" s="804"/>
      <c r="H71" s="805">
        <f>SUM(I71:K71)</f>
        <v>0</v>
      </c>
      <c r="I71" s="802"/>
      <c r="J71" s="803"/>
      <c r="K71" s="803"/>
      <c r="L71" s="805">
        <f>SUM(M71:Z71)</f>
        <v>27.249865733664667</v>
      </c>
      <c r="M71" s="803"/>
      <c r="N71" s="803"/>
      <c r="O71" s="803"/>
      <c r="P71" s="803"/>
      <c r="Q71" s="803"/>
      <c r="R71" s="803"/>
      <c r="S71" s="803"/>
      <c r="T71" s="803"/>
      <c r="U71" s="916">
        <v>27.249865733664667</v>
      </c>
      <c r="V71" s="803"/>
      <c r="W71" s="804"/>
      <c r="X71" s="804"/>
      <c r="Y71" s="804"/>
      <c r="Z71" s="803"/>
      <c r="AA71" s="805"/>
      <c r="AB71" s="806">
        <f>SUM(AC71:AM71)</f>
        <v>0</v>
      </c>
      <c r="AC71" s="807"/>
      <c r="AD71" s="803"/>
      <c r="AE71" s="803"/>
      <c r="AF71" s="803"/>
      <c r="AG71" s="803"/>
      <c r="AH71" s="803"/>
      <c r="AI71" s="803"/>
      <c r="AJ71" s="803"/>
      <c r="AK71" s="802"/>
      <c r="AL71" s="804"/>
      <c r="AM71" s="803"/>
      <c r="AN71" s="805"/>
      <c r="AO71" s="808"/>
      <c r="AP71" s="806"/>
      <c r="AQ71" s="979">
        <f t="shared" si="13"/>
        <v>27.249865733664667</v>
      </c>
      <c r="AR71" s="3"/>
      <c r="AS71" s="5"/>
    </row>
    <row r="72" spans="1:45" s="6" customFormat="1" ht="12.75" customHeight="1" thickBot="1">
      <c r="A72" s="852" t="s">
        <v>189</v>
      </c>
      <c r="B72" s="853"/>
      <c r="C72" s="854">
        <f t="shared" ref="C72:AP72" si="38">C26-C27-C29</f>
        <v>-2.719924399165734</v>
      </c>
      <c r="D72" s="855">
        <f t="shared" si="38"/>
        <v>0.18184486786384468</v>
      </c>
      <c r="E72" s="856">
        <f t="shared" si="38"/>
        <v>-3.4486883993195647</v>
      </c>
      <c r="F72" s="859">
        <f t="shared" si="38"/>
        <v>0</v>
      </c>
      <c r="G72" s="859">
        <f t="shared" si="38"/>
        <v>0.6924657422902083</v>
      </c>
      <c r="H72" s="857">
        <f t="shared" si="38"/>
        <v>1.9457250152908045</v>
      </c>
      <c r="I72" s="855">
        <f t="shared" si="38"/>
        <v>-0.45741265470912973</v>
      </c>
      <c r="J72" s="856">
        <f t="shared" si="38"/>
        <v>0</v>
      </c>
      <c r="K72" s="856">
        <f t="shared" si="38"/>
        <v>2.4031376700000067</v>
      </c>
      <c r="L72" s="857">
        <f t="shared" si="38"/>
        <v>-0.17452026544560795</v>
      </c>
      <c r="M72" s="856">
        <f t="shared" si="38"/>
        <v>0</v>
      </c>
      <c r="N72" s="856">
        <f t="shared" si="38"/>
        <v>-0.14794174855289199</v>
      </c>
      <c r="O72" s="856">
        <f t="shared" si="38"/>
        <v>-5.2567080980734033</v>
      </c>
      <c r="P72" s="856">
        <f t="shared" si="38"/>
        <v>-22.015945821971172</v>
      </c>
      <c r="Q72" s="856">
        <f t="shared" si="38"/>
        <v>15.370413414720133</v>
      </c>
      <c r="R72" s="856">
        <f t="shared" si="38"/>
        <v>-6.7103906044801533</v>
      </c>
      <c r="S72" s="856">
        <f t="shared" si="38"/>
        <v>8.1718040718781069</v>
      </c>
      <c r="T72" s="856">
        <f t="shared" si="38"/>
        <v>6.5570336698137623</v>
      </c>
      <c r="U72" s="856">
        <f t="shared" si="38"/>
        <v>-4.4746269624060915</v>
      </c>
      <c r="V72" s="856">
        <f t="shared" si="38"/>
        <v>0.82532907951213019</v>
      </c>
      <c r="W72" s="859">
        <f t="shared" si="38"/>
        <v>7.506512734116022</v>
      </c>
      <c r="X72" s="859">
        <f t="shared" si="38"/>
        <v>0</v>
      </c>
      <c r="Y72" s="859">
        <f t="shared" si="38"/>
        <v>0</v>
      </c>
      <c r="Z72" s="856">
        <f t="shared" si="38"/>
        <v>0</v>
      </c>
      <c r="AA72" s="857">
        <f t="shared" si="38"/>
        <v>-40.274710307198575</v>
      </c>
      <c r="AB72" s="858">
        <f t="shared" si="38"/>
        <v>-8.1303135021793764</v>
      </c>
      <c r="AC72" s="980">
        <f t="shared" si="38"/>
        <v>0</v>
      </c>
      <c r="AD72" s="856">
        <f t="shared" si="38"/>
        <v>0</v>
      </c>
      <c r="AE72" s="856">
        <f t="shared" si="38"/>
        <v>-5.8327477785794315</v>
      </c>
      <c r="AF72" s="856">
        <f t="shared" si="38"/>
        <v>0</v>
      </c>
      <c r="AG72" s="856">
        <f t="shared" si="38"/>
        <v>0</v>
      </c>
      <c r="AH72" s="856">
        <f t="shared" si="38"/>
        <v>0</v>
      </c>
      <c r="AI72" s="856">
        <f t="shared" si="38"/>
        <v>-2.9556858672000175</v>
      </c>
      <c r="AJ72" s="856">
        <f t="shared" si="38"/>
        <v>0.65812014360000148</v>
      </c>
      <c r="AK72" s="855">
        <f t="shared" si="38"/>
        <v>0</v>
      </c>
      <c r="AL72" s="859">
        <f t="shared" si="38"/>
        <v>0</v>
      </c>
      <c r="AM72" s="856">
        <f t="shared" si="38"/>
        <v>0</v>
      </c>
      <c r="AN72" s="857">
        <f t="shared" si="38"/>
        <v>0</v>
      </c>
      <c r="AO72" s="857">
        <f t="shared" si="38"/>
        <v>-36.15143685982639</v>
      </c>
      <c r="AP72" s="858">
        <f t="shared" si="38"/>
        <v>0</v>
      </c>
      <c r="AQ72" s="860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39" t="s">
        <v>1000</v>
      </c>
      <c r="B74" s="817"/>
      <c r="C74" s="817"/>
      <c r="D74" s="817"/>
      <c r="E74" s="817"/>
      <c r="F74" s="817"/>
      <c r="G74" s="817"/>
      <c r="H74" s="817"/>
      <c r="I74" s="817"/>
      <c r="J74" s="817"/>
      <c r="K74" s="817"/>
      <c r="L74" s="13"/>
      <c r="M74" s="817"/>
      <c r="N74" s="817"/>
      <c r="Q74" s="817"/>
      <c r="R74" s="817"/>
      <c r="S74" s="817"/>
      <c r="T74" s="817"/>
      <c r="U74" s="817"/>
      <c r="V74" s="817"/>
      <c r="W74" s="810"/>
      <c r="Y74" s="817"/>
      <c r="Z74" s="817"/>
      <c r="AA74" s="817"/>
      <c r="AB74" s="817"/>
      <c r="AC74" s="817"/>
      <c r="AD74" s="817"/>
      <c r="AE74" s="817"/>
      <c r="AF74" s="817"/>
      <c r="AG74" s="817"/>
      <c r="AH74" s="817"/>
      <c r="AI74" s="817"/>
      <c r="AJ74" s="817"/>
      <c r="AK74" s="817"/>
      <c r="AL74" s="817"/>
      <c r="AM74" s="817"/>
      <c r="AN74" s="817"/>
      <c r="AO74" s="817"/>
      <c r="AP74" s="817"/>
      <c r="AQ74" s="817"/>
      <c r="AS74" s="5"/>
    </row>
    <row r="75" spans="1:45" ht="12.75" customHeight="1">
      <c r="A75" s="981" t="s">
        <v>1001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82" t="s">
        <v>190</v>
      </c>
      <c r="B76" s="98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84" t="s">
        <v>191</v>
      </c>
      <c r="B77" s="981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81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85" t="s">
        <v>193</v>
      </c>
      <c r="B79" s="15"/>
      <c r="C79" s="15"/>
      <c r="D79" s="15"/>
      <c r="E79" s="986"/>
      <c r="F79" s="987"/>
      <c r="G79" s="987"/>
      <c r="H79" s="988"/>
      <c r="I79" s="987"/>
      <c r="J79" s="987"/>
      <c r="K79" s="987"/>
      <c r="L79" s="988"/>
      <c r="M79" s="987"/>
      <c r="N79" s="987"/>
      <c r="O79" s="987"/>
      <c r="P79" s="987"/>
      <c r="Q79" s="987"/>
      <c r="R79" s="987"/>
      <c r="S79" s="989"/>
      <c r="T79" s="548"/>
      <c r="U79" s="989"/>
      <c r="V79" s="989"/>
      <c r="W79" s="987"/>
      <c r="X79" s="987"/>
      <c r="Y79" s="987"/>
      <c r="Z79" s="987"/>
      <c r="AA79" s="988"/>
      <c r="AB79" s="990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8"/>
      <c r="AP79" s="990"/>
      <c r="AQ79" s="987"/>
    </row>
    <row r="80" spans="1:45" ht="12.75" customHeight="1">
      <c r="A80" s="985" t="s">
        <v>194</v>
      </c>
      <c r="B80" s="15"/>
      <c r="C80" s="15"/>
      <c r="D80" s="15"/>
      <c r="E80" s="986"/>
      <c r="F80" s="987"/>
      <c r="G80" s="987"/>
      <c r="H80" s="988"/>
      <c r="I80" s="987"/>
      <c r="J80" s="987"/>
      <c r="K80" s="987"/>
      <c r="L80" s="988"/>
      <c r="M80" s="987"/>
      <c r="N80" s="987"/>
      <c r="O80" s="987"/>
      <c r="P80" s="987"/>
      <c r="Q80" s="987"/>
      <c r="R80" s="987"/>
      <c r="S80" s="989"/>
      <c r="T80" s="548"/>
      <c r="U80" s="989"/>
      <c r="V80" s="989"/>
      <c r="W80" s="987"/>
      <c r="X80" s="987"/>
      <c r="Y80" s="987"/>
      <c r="Z80" s="987"/>
      <c r="AA80" s="988"/>
      <c r="AB80" s="990"/>
      <c r="AC80" s="987"/>
      <c r="AD80" s="987"/>
      <c r="AE80" s="987"/>
      <c r="AF80" s="987"/>
      <c r="AG80" s="987"/>
      <c r="AH80" s="987"/>
      <c r="AI80" s="987"/>
      <c r="AJ80" s="987"/>
      <c r="AK80" s="987"/>
      <c r="AL80" s="987"/>
      <c r="AM80" s="987"/>
      <c r="AN80" s="987"/>
      <c r="AO80" s="988"/>
      <c r="AP80" s="990"/>
      <c r="AQ80" s="987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D1" workbookViewId="0">
      <selection activeCell="W34" sqref="W34"/>
    </sheetView>
    <sheetView tabSelected="1" topLeftCell="A4" workbookViewId="1">
      <selection activeCell="F22" sqref="F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58" t="s">
        <v>806</v>
      </c>
      <c r="G1" s="1059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65" t="s">
        <v>790</v>
      </c>
      <c r="G2" s="1066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67" t="s">
        <v>540</v>
      </c>
      <c r="G3" s="1068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954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69" t="s">
        <v>213</v>
      </c>
      <c r="G4" s="1070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951</v>
      </c>
    </row>
    <row r="5" spans="1:45" ht="13.5" thickBot="1">
      <c r="A5" s="55"/>
      <c r="B5" s="55"/>
      <c r="C5" s="64"/>
      <c r="D5" s="64"/>
      <c r="E5" s="64"/>
      <c r="F5" s="1071" t="s">
        <v>548</v>
      </c>
      <c r="G5" s="1072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21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949</v>
      </c>
      <c r="AF6" s="707" t="s">
        <v>947</v>
      </c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064" t="s">
        <v>224</v>
      </c>
      <c r="J7" s="1062"/>
      <c r="K7" s="1063"/>
      <c r="L7" s="1064" t="s">
        <v>225</v>
      </c>
      <c r="M7" s="1062"/>
      <c r="N7" s="1063"/>
      <c r="O7" s="1064" t="s">
        <v>226</v>
      </c>
      <c r="P7" s="1062"/>
      <c r="Q7" s="1062"/>
      <c r="R7" s="1060" t="s">
        <v>227</v>
      </c>
      <c r="S7" s="1062" t="s">
        <v>805</v>
      </c>
      <c r="T7" s="1062"/>
      <c r="U7" s="1062"/>
      <c r="V7" s="1062"/>
      <c r="W7" s="1062"/>
      <c r="X7" s="1063"/>
      <c r="Y7" s="1073" t="s">
        <v>873</v>
      </c>
      <c r="Z7" s="1073" t="s">
        <v>550</v>
      </c>
      <c r="AA7" s="1075" t="s">
        <v>940</v>
      </c>
      <c r="AB7" s="1075" t="s">
        <v>939</v>
      </c>
      <c r="AC7" s="1075" t="s">
        <v>941</v>
      </c>
      <c r="AE7" s="1075" t="s">
        <v>945</v>
      </c>
      <c r="AF7" s="1076"/>
      <c r="AG7" s="1076"/>
      <c r="AH7" s="1076"/>
      <c r="AI7" s="1076"/>
      <c r="AJ7" s="1076"/>
      <c r="AK7" s="1076"/>
      <c r="AL7" s="1076"/>
      <c r="AM7" s="1076"/>
      <c r="AN7" s="1076"/>
      <c r="AO7" s="1076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061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074"/>
      <c r="Z8" s="1074"/>
      <c r="AA8" s="1077" t="s">
        <v>814</v>
      </c>
      <c r="AB8" s="1077"/>
      <c r="AC8" s="1077" t="s">
        <v>814</v>
      </c>
      <c r="AE8" s="1077"/>
      <c r="AF8" s="1078"/>
      <c r="AG8" s="1078"/>
      <c r="AH8" s="1078"/>
      <c r="AI8" s="1078"/>
      <c r="AJ8" s="1078"/>
      <c r="AK8" s="1078"/>
      <c r="AL8" s="1078"/>
      <c r="AM8" s="1078"/>
      <c r="AN8" s="1078"/>
      <c r="AO8" s="1078"/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  <c r="AB9" s="693">
        <f>AF13</f>
        <v>10.27079</v>
      </c>
      <c r="AC9" s="428">
        <f>ABS(AB9-Y9)/AB9</f>
        <v>3.621125906970831E-7</v>
      </c>
      <c r="AF9" s="694" t="s">
        <v>948</v>
      </c>
      <c r="AG9" s="694" t="s">
        <v>944</v>
      </c>
      <c r="AH9" s="694" t="s">
        <v>952</v>
      </c>
      <c r="AI9" s="694" t="s">
        <v>227</v>
      </c>
      <c r="AK9" s="694" t="s">
        <v>942</v>
      </c>
      <c r="AL9" s="694" t="s">
        <v>943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0.42370810182262036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8.2135983483693913</v>
      </c>
      <c r="Z10" s="535">
        <f t="shared" ref="Z10:Z27" si="0">C10</f>
        <v>8.22868674342444</v>
      </c>
      <c r="AA10" s="428">
        <f>ABS(Z10-Y10)/Z10</f>
        <v>1.833633424811782E-3</v>
      </c>
      <c r="AB10" s="694">
        <f>AF19</f>
        <v>8.2284100000000002</v>
      </c>
      <c r="AC10" s="428">
        <f>ABS(AB10-Y10)/AB10</f>
        <v>1.8000624216110931E-3</v>
      </c>
      <c r="AE10" s="697" t="s">
        <v>649</v>
      </c>
      <c r="AF10" s="81">
        <v>2.4000000000000001E-4</v>
      </c>
      <c r="AG10" s="81">
        <v>1.92E-4</v>
      </c>
      <c r="AH10" s="81">
        <v>5.0000000000000002E-5</v>
      </c>
      <c r="AJ10" s="81" t="s">
        <v>45</v>
      </c>
      <c r="AK10" s="708">
        <v>6.8668999999999994E-2</v>
      </c>
      <c r="AL10" s="708">
        <v>0.33324999999999999</v>
      </c>
      <c r="AM10" s="579" t="s">
        <v>228</v>
      </c>
      <c r="AN10" s="81">
        <v>1.4117</v>
      </c>
      <c r="AO10" s="702">
        <f>ABS(AN10-S29)/AN10</f>
        <v>5.5299185378329951E-6</v>
      </c>
      <c r="AR10" s="81" t="s">
        <v>954</v>
      </c>
      <c r="AS10" s="81" t="s">
        <v>953</v>
      </c>
    </row>
    <row r="11" spans="1:45" s="81" customFormat="1" ht="12" customHeight="1">
      <c r="A11" s="305" t="s">
        <v>956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7" si="1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B11" s="710">
        <f>AF18</f>
        <v>2.2516699999999998</v>
      </c>
      <c r="AC11" s="428">
        <f>ABS(AB11-Y11)/AB11</f>
        <v>1.0994656146751354E-3</v>
      </c>
      <c r="AD11" s="428"/>
      <c r="AE11" s="697" t="s">
        <v>648</v>
      </c>
      <c r="AF11" s="81">
        <v>1.3999999999999999E-4</v>
      </c>
      <c r="AG11" s="81">
        <v>1.3999999999999999E-4</v>
      </c>
      <c r="AH11" s="81">
        <v>0</v>
      </c>
      <c r="AJ11" s="81" t="s">
        <v>47</v>
      </c>
      <c r="AK11" s="708">
        <v>0.48537400000000003</v>
      </c>
      <c r="AL11" s="708">
        <v>1.7527820000000001</v>
      </c>
      <c r="AM11" s="579" t="s">
        <v>229</v>
      </c>
      <c r="AN11" s="81">
        <v>1.1023000000000001</v>
      </c>
      <c r="AO11" s="70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955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1"/>
        <v>0</v>
      </c>
      <c r="Z12" s="535">
        <f t="shared" si="0"/>
        <v>0</v>
      </c>
      <c r="AA12" s="428"/>
      <c r="AB12" s="55"/>
      <c r="AC12" s="55"/>
      <c r="AD12" s="55"/>
      <c r="AE12" s="697" t="s">
        <v>644</v>
      </c>
      <c r="AF12" s="81">
        <v>1.2807299999999999</v>
      </c>
      <c r="AG12" s="81">
        <v>0.15116299999999999</v>
      </c>
      <c r="AH12" s="81">
        <v>1.12957</v>
      </c>
      <c r="AJ12" s="81" t="s">
        <v>49</v>
      </c>
      <c r="AK12" s="708">
        <v>0.56807799999999997</v>
      </c>
      <c r="AL12" s="708">
        <v>2.72926</v>
      </c>
      <c r="AM12" s="579" t="s">
        <v>230</v>
      </c>
      <c r="AN12" s="81">
        <v>1.7146999999999999</v>
      </c>
      <c r="AO12" s="70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957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1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B13" s="693">
        <f>AF17</f>
        <v>48.191189999999999</v>
      </c>
      <c r="AC13" s="428">
        <f t="shared" ref="AC13:AC27" si="2">ABS(AB13-Y13)/AB13</f>
        <v>7.4898725447715407E-8</v>
      </c>
      <c r="AD13" s="55"/>
      <c r="AE13" s="697" t="s">
        <v>893</v>
      </c>
      <c r="AF13" s="81">
        <v>10.27079</v>
      </c>
      <c r="AG13" s="81">
        <v>0.61081200000000002</v>
      </c>
      <c r="AH13" s="81">
        <v>9.6599699999999995</v>
      </c>
      <c r="AM13" s="579" t="s">
        <v>231</v>
      </c>
      <c r="AN13" s="81">
        <v>1.1861999999999999</v>
      </c>
      <c r="AO13" s="70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958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1"/>
        <v>0</v>
      </c>
      <c r="Z14" s="566">
        <f t="shared" si="0"/>
        <v>11.893905446769136</v>
      </c>
      <c r="AA14" s="428">
        <f>ABS(Z13+Z14+Z16-Y13)/(Z13+Z14+Z16)</f>
        <v>3.0673184078375199E-5</v>
      </c>
      <c r="AB14" s="55"/>
      <c r="AC14" s="55"/>
      <c r="AD14" s="55"/>
      <c r="AE14" s="697" t="s">
        <v>457</v>
      </c>
      <c r="AF14" s="81">
        <v>29.47167</v>
      </c>
      <c r="AG14" s="81">
        <v>2.0117790000000002</v>
      </c>
      <c r="AH14" s="81">
        <v>3.1714199999999999</v>
      </c>
      <c r="AI14" s="711">
        <v>2.0926469999999999</v>
      </c>
      <c r="AM14" s="579" t="s">
        <v>234</v>
      </c>
      <c r="AN14" s="81">
        <v>10.843400000000001</v>
      </c>
      <c r="AO14" s="70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959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1"/>
        <v>0</v>
      </c>
      <c r="Z15" s="566">
        <f t="shared" si="0"/>
        <v>0</v>
      </c>
      <c r="AA15" s="428">
        <f>ABS(Z13+Z14+Z16-Y13)/(Z13+Z14+Z16)</f>
        <v>3.0673184078375199E-5</v>
      </c>
      <c r="AD15" s="55"/>
      <c r="AE15" s="697" t="s">
        <v>642</v>
      </c>
      <c r="AF15" s="81">
        <v>25.249700000000001</v>
      </c>
      <c r="AG15" s="81">
        <v>7.0470649999999999</v>
      </c>
      <c r="AH15" s="81">
        <v>17.574750000000002</v>
      </c>
      <c r="AI15" s="711">
        <v>0.62788500000000003</v>
      </c>
      <c r="AS15" s="81">
        <v>10.843443600000001</v>
      </c>
    </row>
    <row r="16" spans="1:45" s="81" customFormat="1" ht="12" customHeight="1">
      <c r="A16" s="306" t="s">
        <v>960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1"/>
        <v>0</v>
      </c>
      <c r="Z16" s="566">
        <f t="shared" si="0"/>
        <v>0.14696868507580046</v>
      </c>
      <c r="AA16" s="428">
        <f>ABS(Z13+Z14+Z16-Y13)/(Z13+Z14+Z16)</f>
        <v>3.0673184078375199E-5</v>
      </c>
      <c r="AD16" s="55"/>
      <c r="AE16" s="697" t="s">
        <v>454</v>
      </c>
      <c r="AF16" s="998">
        <v>0.245097802600691</v>
      </c>
      <c r="AG16" s="998">
        <v>1.357E-2</v>
      </c>
      <c r="AH16" s="998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961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1"/>
        <v>25.291740602835606</v>
      </c>
      <c r="Z17" s="534">
        <f t="shared" si="0"/>
        <v>25.292197479166735</v>
      </c>
      <c r="AA17" s="428">
        <f>ABS(Z17-Y17)/Z17</f>
        <v>1.8063923923758402E-5</v>
      </c>
      <c r="AB17" s="701">
        <f>AF15</f>
        <v>25.249700000000001</v>
      </c>
      <c r="AC17" s="428">
        <f t="shared" si="2"/>
        <v>1.6649941518356857E-3</v>
      </c>
      <c r="AD17" s="55"/>
      <c r="AE17" s="697" t="s">
        <v>638</v>
      </c>
      <c r="AF17" s="81">
        <v>48.191189999999999</v>
      </c>
      <c r="AG17" s="81">
        <v>11.427477</v>
      </c>
      <c r="AH17" s="81">
        <v>36.763719999999999</v>
      </c>
    </row>
    <row r="18" spans="1:45" s="81" customFormat="1" ht="12" customHeight="1">
      <c r="A18" s="306" t="s">
        <v>962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($C$18*0.05)-I27</f>
        <v>1.7846481139783446E-2</v>
      </c>
      <c r="J18" s="609">
        <f>($C$18*0.475)-J27</f>
        <v>0.2636986099555837</v>
      </c>
      <c r="K18" s="610">
        <f>($C$18*0.475)-K27</f>
        <v>0.265060216590152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97">
        <f t="shared" si="1"/>
        <v>0.54660530768551907</v>
      </c>
      <c r="Z18" s="598">
        <f t="shared" si="0"/>
        <v>0.56017671356000831</v>
      </c>
      <c r="AA18" s="428">
        <f>ABS(Z18+Z22+Z27-Y18-Y22-Y27)/(Z18+Z22+Z27)</f>
        <v>0.13322920241177555</v>
      </c>
      <c r="AB18" s="694">
        <f>AF21</f>
        <v>0.54661000000000004</v>
      </c>
      <c r="AC18" s="428">
        <f t="shared" si="2"/>
        <v>8.5843919448411621E-6</v>
      </c>
      <c r="AD18" s="55"/>
      <c r="AE18" s="697" t="s">
        <v>636</v>
      </c>
      <c r="AF18" s="81">
        <v>2.2516699999999998</v>
      </c>
      <c r="AG18" s="81">
        <v>0.50716600000000001</v>
      </c>
      <c r="AH18" s="81">
        <v>1.70749</v>
      </c>
      <c r="AI18" s="711">
        <v>3.7013999999999998E-2</v>
      </c>
      <c r="AS18" s="81">
        <f>SUM(AS11:AS16)</f>
        <v>19.019561849999999</v>
      </c>
    </row>
    <row r="19" spans="1:45" s="81" customFormat="1" ht="12" customHeight="1">
      <c r="A19" s="305" t="s">
        <v>963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B19" s="694">
        <f>AF12</f>
        <v>1.2807299999999999</v>
      </c>
      <c r="AC19" s="428">
        <f t="shared" si="2"/>
        <v>3.8048775900685131E-6</v>
      </c>
      <c r="AD19" s="55"/>
      <c r="AE19" s="697" t="s">
        <v>458</v>
      </c>
      <c r="AF19" s="81">
        <v>8.2284100000000002</v>
      </c>
      <c r="AG19" s="81">
        <v>0.83144300000000004</v>
      </c>
      <c r="AH19" s="81">
        <v>7.3969699999999996</v>
      </c>
    </row>
    <row r="20" spans="1:45" s="81" customFormat="1" ht="12" customHeight="1">
      <c r="A20" s="306" t="s">
        <v>964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1"/>
        <v>0</v>
      </c>
      <c r="Z20" s="535">
        <f t="shared" si="0"/>
        <v>0</v>
      </c>
      <c r="AD20" s="55"/>
      <c r="AE20" s="697" t="s">
        <v>647</v>
      </c>
      <c r="AF20" s="81">
        <v>0.94610000000000005</v>
      </c>
      <c r="AH20" s="81">
        <v>0.94610000000000005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1"/>
        <v>0</v>
      </c>
      <c r="Z21" s="534">
        <f t="shared" si="0"/>
        <v>0</v>
      </c>
      <c r="AD21" s="55"/>
      <c r="AE21" s="697" t="s">
        <v>643</v>
      </c>
      <c r="AF21" s="81">
        <v>0.54661000000000004</v>
      </c>
      <c r="AG21" s="81">
        <v>0.54660500000000001</v>
      </c>
      <c r="AS21" s="81">
        <f>AF24-AS18</f>
        <v>107.6627859526007</v>
      </c>
    </row>
    <row r="22" spans="1:45" s="81" customFormat="1" ht="12" customHeight="1">
      <c r="A22" s="306" t="s">
        <v>1010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1017</v>
      </c>
      <c r="F22" s="608">
        <f>'SHWLP-Apt'!$AC$12/('SHWLP-Apt'!$AC$12+'SHWLP-Att'!$AC$12+'SHWLP-Det'!$AC$12+'SHWLP-Apt'!$AC$38+'SHWLP-Att'!$AC$38+'SHWLP-Det'!$AC$38)*$Z$22</f>
        <v>0.22015474018856834</v>
      </c>
      <c r="G22" s="609">
        <f>'SHWLP-Att'!$AC$12/('SHWLP-Apt'!$AC$12+'SHWLP-Att'!$AC$12+'SHWLP-Det'!$AC$12+'SHWLP-Apt'!$AC$38+'SHWLP-Att'!$AC$38+'SHWLP-Det'!$AC$38)*$Z$22</f>
        <v>0.11153259192280841</v>
      </c>
      <c r="H22" s="610">
        <f>'SHWLP-Det'!$AC$12/('SHWLP-Apt'!$AC$12+'SHWLP-Att'!$AC$12+'SHWLP-Det'!$AC$12+'SHWLP-Apt'!$AC$38+'SHWLP-Att'!$AC$38+'SHWLP-Det'!$AC$38)*$Z$22</f>
        <v>0.16804630471565143</v>
      </c>
      <c r="I22" s="608">
        <f>'SHWLP-Apt'!$AC$38/('SHWLP-Apt'!$AC$12+'SHWLP-Att'!$AC$12+'SHWLP-Det'!$AC$12+'SHWLP-Apt'!$AC$38+'SHWLP-Att'!$AC$38+'SHWLP-Det'!$AC$38)*$Z$22</f>
        <v>0.40277330200280725</v>
      </c>
      <c r="J22" s="609">
        <f>'SHWLP-Att'!$AC$38/('SHWLP-Apt'!$AC$12+'SHWLP-Att'!$AC$12+'SHWLP-Det'!$AC$12+'SHWLP-Apt'!$AC$38+'SHWLP-Att'!$AC$38+'SHWLP-Det'!$AC$38)*$Z$22</f>
        <v>0.15601401478714788</v>
      </c>
      <c r="K22" s="610">
        <f>'SHWLP-Det'!$AC$38/('SHWLP-Apt'!$AC$12+'SHWLP-Att'!$AC$12+'SHWLP-Det'!$AC$12+'SHWLP-Apt'!$AC$38+'SHWLP-Att'!$AC$38+'SHWLP-Det'!$AC$38)*$Z$22</f>
        <v>0.11910750267320144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 t="shared" si="1"/>
        <v>1.1776284562901846</v>
      </c>
      <c r="Z22" s="598">
        <f t="shared" si="0"/>
        <v>1.1776284562901849</v>
      </c>
      <c r="AA22" s="428">
        <f>ABS(Z18+Z22+Z27-Y18-Y22-Y27)/(Z18+Z22+Z27)</f>
        <v>0.13322920241177555</v>
      </c>
      <c r="AB22" s="693">
        <f>AF20</f>
        <v>0.94610000000000005</v>
      </c>
      <c r="AC22" s="428">
        <f t="shared" si="2"/>
        <v>0.24471879958797652</v>
      </c>
      <c r="AD22" s="55"/>
      <c r="AE22" s="55"/>
    </row>
    <row r="23" spans="1:45" s="81" customFormat="1" ht="12" customHeight="1">
      <c r="A23" s="305" t="s">
        <v>965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1"/>
        <v>1.3994741658566312E-4</v>
      </c>
      <c r="Z23" s="534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966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1"/>
        <v>2.4381198480162954E-4</v>
      </c>
      <c r="Z24" s="535">
        <f t="shared" si="0"/>
        <v>0</v>
      </c>
      <c r="AA24" s="55"/>
      <c r="AB24" s="55"/>
      <c r="AC24" s="55"/>
      <c r="AD24" s="55"/>
      <c r="AE24" s="698" t="s">
        <v>313</v>
      </c>
      <c r="AF24" s="699">
        <f>SUM(AF10:AF21)</f>
        <v>126.6823478026007</v>
      </c>
      <c r="AG24" s="699">
        <f>SUM(AG10:AG21)</f>
        <v>23.147411999999999</v>
      </c>
      <c r="AH24" s="699">
        <f>SUM(AH10:AH21)</f>
        <v>78.581565999999995</v>
      </c>
      <c r="AI24" s="699">
        <f>SUM(AI10:AI21)</f>
        <v>2.7575460000000001</v>
      </c>
      <c r="AK24" s="699">
        <f>SUM(AK10:AK21)</f>
        <v>1.1221209999999999</v>
      </c>
      <c r="AL24" s="699">
        <f>SUM(AL10:AL21)</f>
        <v>4.8152919999999995</v>
      </c>
      <c r="AN24" s="699">
        <f>SUM(AN10:AN15)</f>
        <v>16.258299999999998</v>
      </c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1"/>
        <v>0</v>
      </c>
      <c r="Z25" s="534">
        <f t="shared" si="0"/>
        <v>0</v>
      </c>
      <c r="AA25" s="55"/>
      <c r="AB25" s="55"/>
      <c r="AC25" s="55"/>
      <c r="AD25" s="55"/>
      <c r="AF25" s="702">
        <f>ABS(AF24-Y29)/AF24</f>
        <v>1.9365613026336268E-4</v>
      </c>
      <c r="AG25" s="702">
        <f>ABS(AG24-I30)/AG24</f>
        <v>1.9181319675833634E-2</v>
      </c>
      <c r="AH25" s="702">
        <f>ABS(AH24-F30)/AH24</f>
        <v>6.0082296962552326E-3</v>
      </c>
      <c r="AI25" s="703">
        <f>ABS(AI24-R29)/AI24</f>
        <v>1.3089360496486048E-3</v>
      </c>
      <c r="AK25" s="702">
        <f>ABS(AK24-O30)/AK24</f>
        <v>7.9674055899880281E-7</v>
      </c>
      <c r="AL25" s="702">
        <f>ABS(AL24-L30)/AL24</f>
        <v>1.1829161102768674E-7</v>
      </c>
      <c r="AN25" s="702">
        <f>ABS(AN24-S30)/AN24</f>
        <v>6.5445177635961197E-6</v>
      </c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0.83005002106282055</v>
      </c>
      <c r="G26" s="582">
        <f>'SHWLP-Att'!$AC$11+'SHWLP-Att'!$AC$13</f>
        <v>1.1054659141704493</v>
      </c>
      <c r="H26" s="590">
        <f>'SHWLP-Det'!$AC$11+'SHWLP-Det'!$AC$13</f>
        <v>1.4416622140850979</v>
      </c>
      <c r="I26" s="589">
        <f>'SHWLP-Apt'!$AC$37+'SHWLP-Apt'!$AC$39</f>
        <v>0.80277224874849762</v>
      </c>
      <c r="J26" s="582">
        <f>'SHWLP-Att'!$AC$37+'SHWLP-Att'!$AC$39</f>
        <v>0.55833218302809084</v>
      </c>
      <c r="K26" s="590">
        <f>'SHWLP-Det'!$AC$37+'SHWLP-Det'!$AC$39</f>
        <v>0.44516169914402037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29.430998117732678</v>
      </c>
      <c r="Z26" s="535">
        <f t="shared" si="0"/>
        <v>29.430890206847998</v>
      </c>
      <c r="AA26" s="428">
        <f>ABS(Z26-Y26)/Z26</f>
        <v>3.6665858192230933E-6</v>
      </c>
      <c r="AB26" s="701">
        <f>AF14</f>
        <v>29.47167</v>
      </c>
      <c r="AC26" s="428">
        <f t="shared" si="2"/>
        <v>1.3800331731225949E-3</v>
      </c>
      <c r="AD26" s="55"/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 t="shared" si="1"/>
        <v>0.24509780260069097</v>
      </c>
      <c r="Z27" s="599">
        <f t="shared" si="0"/>
        <v>0</v>
      </c>
      <c r="AA27" s="428">
        <f>ABS(Z18+Z22+Z27-Y18-Y22-Y27)/(Z18+Z22+Z27)</f>
        <v>0.13322920241177555</v>
      </c>
      <c r="AB27" s="693">
        <f>AF16</f>
        <v>0.245097802600691</v>
      </c>
      <c r="AC27" s="428">
        <f t="shared" si="2"/>
        <v>1.1324285783519572E-16</v>
      </c>
      <c r="AD27" s="55"/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704" t="s">
        <v>548</v>
      </c>
      <c r="F28" s="704">
        <f>SUM('SHWLP-Apt'!AC20:AC22)</f>
        <v>8.0306945735614532E-2</v>
      </c>
      <c r="G28" s="704">
        <f>SUM('SHWLP-Att'!AC20:AC22)</f>
        <v>2.5365387026370665</v>
      </c>
      <c r="H28" s="704">
        <f>SUM('SHWLP-Det'!AC20:AC22)</f>
        <v>6.7042583807020266</v>
      </c>
      <c r="I28" s="704">
        <f>SUM('SHWLP-Apt'!AC46:AC48)</f>
        <v>8.8177086195802782E-3</v>
      </c>
      <c r="J28" s="704">
        <f>SUM('SHWLP-Att'!AC46:AC48)</f>
        <v>0.48732257014454378</v>
      </c>
      <c r="K28" s="704">
        <f>SUM('SHWLP-Det'!AC46:AC48)</f>
        <v>0.5222552925680668</v>
      </c>
      <c r="L28" s="704"/>
      <c r="M28" s="704"/>
      <c r="N28" s="704"/>
      <c r="O28" s="704"/>
      <c r="P28" s="704"/>
      <c r="Q28" s="704"/>
      <c r="R28" s="704"/>
      <c r="S28" s="704"/>
      <c r="T28" s="704"/>
      <c r="U28" s="704"/>
      <c r="V28" s="704"/>
      <c r="W28" s="704"/>
      <c r="X28" s="704"/>
      <c r="Y28" s="704">
        <f>SUM(F28:K28)</f>
        <v>10.339499600406898</v>
      </c>
      <c r="Z28" s="705"/>
      <c r="AA28" s="428"/>
      <c r="AB28" s="693"/>
      <c r="AC28" s="428"/>
      <c r="AD28" s="55"/>
      <c r="AF28" s="40"/>
    </row>
    <row r="29" spans="1:45" ht="13.5" thickBot="1">
      <c r="A29" s="55"/>
      <c r="B29" s="55"/>
      <c r="C29" s="55"/>
      <c r="D29" s="55"/>
      <c r="E29" s="55"/>
      <c r="F29" s="537">
        <f t="shared" ref="F29:K29" si="3">SUM(F9:F26)</f>
        <v>2.8850674221741839</v>
      </c>
      <c r="G29" s="539">
        <f t="shared" si="3"/>
        <v>28.032131222871833</v>
      </c>
      <c r="H29" s="539">
        <f t="shared" si="3"/>
        <v>47.192231256534534</v>
      </c>
      <c r="I29" s="539">
        <f t="shared" si="3"/>
        <v>2.0898171289230238</v>
      </c>
      <c r="J29" s="539">
        <f t="shared" si="3"/>
        <v>9.7219181246884769</v>
      </c>
      <c r="K29" s="539">
        <f t="shared" si="3"/>
        <v>11.779674655628726</v>
      </c>
      <c r="L29" s="539">
        <f t="shared" ref="L29:X29" si="4">SUM(L9:L27)</f>
        <v>0.33324972411353743</v>
      </c>
      <c r="M29" s="539">
        <f t="shared" si="4"/>
        <v>1.7527820568537191</v>
      </c>
      <c r="N29" s="539">
        <f t="shared" si="4"/>
        <v>2.7292596494240944</v>
      </c>
      <c r="O29" s="539">
        <f t="shared" si="4"/>
        <v>6.8669034558234018E-2</v>
      </c>
      <c r="P29" s="539">
        <f t="shared" si="4"/>
        <v>0.48537443842897676</v>
      </c>
      <c r="Q29" s="539">
        <f t="shared" si="4"/>
        <v>0.56807842105210182</v>
      </c>
      <c r="R29" s="709">
        <f t="shared" si="4"/>
        <v>2.7611554513679644</v>
      </c>
      <c r="S29" s="539">
        <f t="shared" si="4"/>
        <v>1.4117078065859998</v>
      </c>
      <c r="T29" s="539">
        <f t="shared" si="4"/>
        <v>1.1023237905322498</v>
      </c>
      <c r="U29" s="539">
        <f t="shared" si="4"/>
        <v>1.7147299705763039</v>
      </c>
      <c r="V29" s="539">
        <f t="shared" si="4"/>
        <v>1.1862012348845998</v>
      </c>
      <c r="W29" s="706">
        <f t="shared" si="4"/>
        <v>10.843443600154002</v>
      </c>
      <c r="X29" s="539">
        <f t="shared" si="4"/>
        <v>0</v>
      </c>
      <c r="Y29" s="1039">
        <f>SUM(Y9:Y26)</f>
        <v>126.65781498935257</v>
      </c>
      <c r="Z29" s="1038">
        <f>SUM(Z9:Z27)</f>
        <v>126.68456757434075</v>
      </c>
      <c r="AA29" s="428">
        <f>ABS(Z29-Y29)/Z29</f>
        <v>2.1117477448446653E-4</v>
      </c>
      <c r="AB29" s="40">
        <f>SUM(AB9:AB27)</f>
        <v>126.68196780260071</v>
      </c>
      <c r="AD29" s="55"/>
      <c r="AI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78.109429901580555</v>
      </c>
      <c r="G30" s="538">
        <f>F30/$Y$29</f>
        <v>0.61669648973611924</v>
      </c>
      <c r="H30" s="370"/>
      <c r="I30" s="539">
        <f>SUM(I29:K29)</f>
        <v>23.591409909240227</v>
      </c>
      <c r="J30" s="538">
        <f>I30/$Y$29</f>
        <v>0.1862609891953641</v>
      </c>
      <c r="K30" s="370"/>
      <c r="L30" s="539">
        <f>SUM(L29:N29)</f>
        <v>4.8152914303913512</v>
      </c>
      <c r="M30" s="538">
        <f>L30/$Y$29</f>
        <v>3.8018115430114963E-2</v>
      </c>
      <c r="N30" s="370"/>
      <c r="O30" s="539">
        <f>SUM(O29:Q29)</f>
        <v>1.1221218940393127</v>
      </c>
      <c r="P30" s="538">
        <f>O30/$Y$29</f>
        <v>8.8594761731334414E-3</v>
      </c>
      <c r="Q30" s="370"/>
      <c r="R30" s="538">
        <f>R29/$Y$29</f>
        <v>2.1800119097270702E-2</v>
      </c>
      <c r="S30" s="539">
        <f>SUM(S29:X29)</f>
        <v>16.258406402733154</v>
      </c>
      <c r="T30" s="538">
        <f>S30/$Y$29</f>
        <v>0.12836481036799749</v>
      </c>
      <c r="U30" s="370"/>
      <c r="V30" s="370"/>
      <c r="W30" s="370"/>
      <c r="X30" s="370"/>
      <c r="Y30" s="540">
        <f>T30+R30+P30++M30+J30+G30</f>
        <v>0.99999999999999989</v>
      </c>
      <c r="Z30" s="371"/>
      <c r="AA30" s="55"/>
      <c r="AD30" s="55"/>
      <c r="AF30" s="81"/>
      <c r="AG30" s="81"/>
      <c r="AH30" s="81"/>
      <c r="AI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78.109429901580555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23.591409909240227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14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5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5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5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079" t="s">
        <v>606</v>
      </c>
      <c r="C4" s="1079"/>
      <c r="D4" s="1079"/>
      <c r="E4" s="1079"/>
      <c r="F4" s="1079"/>
      <c r="G4" s="1079"/>
      <c r="H4" s="1079"/>
      <c r="I4" s="1079"/>
      <c r="J4" s="1079"/>
      <c r="K4" s="1079"/>
      <c r="L4" s="1079"/>
      <c r="M4" s="373"/>
      <c r="O4" s="1079" t="s">
        <v>608</v>
      </c>
      <c r="P4" s="1079"/>
      <c r="Q4" s="1079"/>
      <c r="R4" s="1079"/>
      <c r="S4" s="1079"/>
      <c r="T4" s="1079"/>
      <c r="U4" s="1079"/>
      <c r="V4" s="1079"/>
      <c r="W4" s="1079"/>
      <c r="X4" s="1079"/>
      <c r="Y4" s="1079"/>
      <c r="Z4" s="1079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80" t="s">
        <v>615</v>
      </c>
      <c r="AZ18" s="1080"/>
      <c r="BA18" s="1080"/>
      <c r="BB18" s="1080"/>
      <c r="BC18" s="1080"/>
      <c r="BD18" s="1080"/>
      <c r="BE18" s="1080"/>
      <c r="BF18" s="1080"/>
      <c r="BG18" s="1080"/>
      <c r="BH18" s="1080"/>
      <c r="BI18" s="1080"/>
      <c r="BJ18" s="1080"/>
      <c r="BL18" s="1080" t="s">
        <v>616</v>
      </c>
      <c r="BM18" s="108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  <c r="BX18" s="1080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079" t="s">
        <v>607</v>
      </c>
      <c r="C19" s="1079"/>
      <c r="D19" s="1079"/>
      <c r="E19" s="1079"/>
      <c r="F19" s="1079"/>
      <c r="G19" s="1079"/>
      <c r="H19" s="1079"/>
      <c r="I19" s="1079"/>
      <c r="J19" s="1079"/>
      <c r="K19" s="1079"/>
      <c r="L19" s="1079"/>
      <c r="M19" s="373"/>
      <c r="O19" s="1079" t="s">
        <v>608</v>
      </c>
      <c r="P19" s="1079"/>
      <c r="Q19" s="1079"/>
      <c r="R19" s="1079"/>
      <c r="S19" s="1079"/>
      <c r="T19" s="1079"/>
      <c r="U19" s="1079"/>
      <c r="V19" s="1079"/>
      <c r="W19" s="1079"/>
      <c r="X19" s="1079"/>
      <c r="Y19" s="1079"/>
      <c r="Z19" s="1079"/>
      <c r="AB19" s="1079" t="s">
        <v>609</v>
      </c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N19" s="1079" t="s">
        <v>610</v>
      </c>
      <c r="AO19" s="1079"/>
      <c r="AP19" s="1079"/>
      <c r="AQ19" s="1079"/>
      <c r="AR19" s="1079"/>
      <c r="AS19" s="1079"/>
      <c r="AT19" s="1079"/>
      <c r="AU19" s="1079"/>
      <c r="AV19" s="1079"/>
      <c r="AW19" s="1079"/>
      <c r="AY19" s="1079" t="s">
        <v>611</v>
      </c>
      <c r="AZ19" s="1079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L19" s="1079" t="s">
        <v>617</v>
      </c>
      <c r="BM19" s="1079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  <c r="BX19" s="1079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F19" sqref="F19"/>
    </sheetView>
    <sheetView workbookViewId="1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8" t="s">
        <v>235</v>
      </c>
      <c r="D2" s="688"/>
      <c r="M2" s="688" t="s">
        <v>235</v>
      </c>
      <c r="N2" s="689"/>
    </row>
    <row r="3" spans="1:21" ht="15">
      <c r="C3" s="34" t="s">
        <v>932</v>
      </c>
      <c r="D3" s="34"/>
      <c r="E3" s="691"/>
      <c r="F3" s="691"/>
      <c r="G3" s="691"/>
      <c r="H3" s="691"/>
      <c r="I3" s="691"/>
      <c r="J3" s="691"/>
      <c r="K3" s="690"/>
      <c r="M3" s="34" t="s">
        <v>932</v>
      </c>
      <c r="N3" s="67"/>
      <c r="O3" s="67"/>
      <c r="P3" s="67"/>
      <c r="Q3" s="67"/>
      <c r="R3" s="67"/>
      <c r="S3" s="67"/>
      <c r="T3" s="67"/>
      <c r="U3" s="690"/>
    </row>
    <row r="4" spans="1:21" ht="15.75" thickBot="1">
      <c r="C4" s="35" t="s">
        <v>236</v>
      </c>
      <c r="D4" s="35" t="s">
        <v>933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933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934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934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1008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1008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1008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1009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>
      <selection activeCell="D19" sqref="D19"/>
    </sheetView>
    <sheetView workbookViewId="1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935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933</v>
      </c>
      <c r="C5" s="349" t="s">
        <v>237</v>
      </c>
      <c r="D5" s="616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7">
        <v>3.1602980079786249E-3</v>
      </c>
      <c r="H11" s="68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99" t="s">
        <v>1006</v>
      </c>
      <c r="H25" s="999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13" sqref="D13"/>
    </sheetView>
    <sheetView workbookViewId="1"/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937</v>
      </c>
      <c r="F2" s="549"/>
      <c r="H2" s="549"/>
      <c r="K2" s="550" t="s">
        <v>936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933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931</v>
      </c>
      <c r="H3" s="554" t="s">
        <v>930</v>
      </c>
      <c r="I3" s="554" t="s">
        <v>851</v>
      </c>
      <c r="K3" s="555" t="s">
        <v>266</v>
      </c>
      <c r="L3" s="555" t="s">
        <v>933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934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934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2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1003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1017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1002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1004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T144"/>
  <sheetViews>
    <sheetView topLeftCell="E1" zoomScaleNormal="100" workbookViewId="0">
      <selection activeCell="M35" sqref="M35"/>
    </sheetView>
    <sheetView workbookViewId="1"/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7" width="10.42578125" style="548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2" ht="21.75" thickBot="1">
      <c r="B1" s="70" t="s">
        <v>938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2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737</v>
      </c>
      <c r="AD2" s="96" t="s">
        <v>769</v>
      </c>
      <c r="AE2" s="96" t="s">
        <v>773</v>
      </c>
      <c r="AF2" s="97" t="s">
        <v>770</v>
      </c>
      <c r="AG2" s="482" t="s">
        <v>774</v>
      </c>
      <c r="AH2" s="483" t="s">
        <v>771</v>
      </c>
      <c r="AI2" s="482" t="s">
        <v>772</v>
      </c>
      <c r="AJ2" s="460" t="s">
        <v>705</v>
      </c>
      <c r="AK2" s="461" t="s">
        <v>706</v>
      </c>
      <c r="AL2" s="461" t="s">
        <v>707</v>
      </c>
      <c r="AM2" s="461" t="s">
        <v>708</v>
      </c>
      <c r="AN2" s="461" t="s">
        <v>709</v>
      </c>
      <c r="AO2" s="461" t="s">
        <v>710</v>
      </c>
      <c r="AP2" s="461" t="s">
        <v>711</v>
      </c>
      <c r="AQ2" s="461" t="s">
        <v>712</v>
      </c>
      <c r="AR2" s="461" t="s">
        <v>713</v>
      </c>
      <c r="AS2" s="461" t="s">
        <v>714</v>
      </c>
      <c r="AT2" s="461" t="s">
        <v>715</v>
      </c>
      <c r="AU2" s="461" t="s">
        <v>716</v>
      </c>
      <c r="AV2" s="461" t="s">
        <v>717</v>
      </c>
      <c r="AW2" s="461" t="s">
        <v>718</v>
      </c>
      <c r="AX2" s="461" t="s">
        <v>719</v>
      </c>
      <c r="AY2" s="461" t="s">
        <v>720</v>
      </c>
      <c r="AZ2" s="463" t="s">
        <v>259</v>
      </c>
      <c r="BA2" s="461" t="s">
        <v>721</v>
      </c>
      <c r="BB2" s="461" t="s">
        <v>722</v>
      </c>
      <c r="BC2" s="461" t="s">
        <v>723</v>
      </c>
      <c r="BD2" s="461" t="s">
        <v>724</v>
      </c>
      <c r="BE2" s="461" t="s">
        <v>725</v>
      </c>
      <c r="BF2" s="461" t="s">
        <v>726</v>
      </c>
      <c r="BG2" s="461" t="s">
        <v>727</v>
      </c>
      <c r="BH2" s="461" t="s">
        <v>728</v>
      </c>
      <c r="BI2" s="461" t="s">
        <v>729</v>
      </c>
      <c r="BJ2" s="461" t="s">
        <v>730</v>
      </c>
      <c r="BK2" s="461" t="s">
        <v>731</v>
      </c>
      <c r="BL2" s="461" t="s">
        <v>732</v>
      </c>
      <c r="BM2" s="461" t="s">
        <v>733</v>
      </c>
      <c r="BN2" s="461" t="s">
        <v>734</v>
      </c>
      <c r="BO2" s="461" t="s">
        <v>735</v>
      </c>
      <c r="BP2" s="462" t="s">
        <v>736</v>
      </c>
      <c r="BQ2" s="96" t="s">
        <v>286</v>
      </c>
    </row>
    <row r="3" spans="2:72" ht="21">
      <c r="B3" s="70" t="s">
        <v>817</v>
      </c>
      <c r="C3" s="70"/>
      <c r="D3" s="70"/>
      <c r="E3" s="70"/>
      <c r="F3" s="43" t="s">
        <v>937</v>
      </c>
      <c r="G3" s="43"/>
      <c r="H3" s="43"/>
      <c r="I3" s="43"/>
      <c r="J3" s="43"/>
      <c r="K3" s="43"/>
      <c r="L3" s="43"/>
      <c r="M3" s="32"/>
      <c r="N3" s="34" t="s">
        <v>936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466" t="str">
        <f>"*H_"&amp;"*"&amp;RIGHT(AH3,LEN(AH3)-3)&amp;"_"&amp;SETUP!B64</f>
        <v>*H_*COABIT_X0</v>
      </c>
      <c r="AF3" s="466" t="str">
        <f>COMM!F6&amp;"_"&amp;SETUP!C64</f>
        <v>Coal to Residential_Existing 00</v>
      </c>
      <c r="AG3" s="466" t="e">
        <f>RSD_Balance!#REF!</f>
        <v>#REF!</v>
      </c>
      <c r="AH3" s="466" t="s">
        <v>632</v>
      </c>
      <c r="AI3" s="466">
        <v>1</v>
      </c>
      <c r="AJ3" s="466"/>
      <c r="AK3" s="466"/>
      <c r="AL3" s="466"/>
      <c r="AM3" s="466">
        <v>5.2909653443917494E-2</v>
      </c>
      <c r="AN3" s="466">
        <v>0.1130595111768057</v>
      </c>
      <c r="AO3" s="466">
        <v>0.18480169736713609</v>
      </c>
      <c r="AP3" s="466">
        <v>9.1980608893918028E-2</v>
      </c>
      <c r="AQ3" s="466">
        <v>4.0248445684114405E-2</v>
      </c>
      <c r="AR3" s="466">
        <v>6.6194646918417144E-2</v>
      </c>
      <c r="AS3" s="466">
        <v>0.12021532312122017</v>
      </c>
      <c r="AT3" s="466">
        <v>5.2154967135292975E-2</v>
      </c>
      <c r="AU3" s="466">
        <v>1.3178805351752886E-2</v>
      </c>
      <c r="AV3" s="466">
        <v>1.4108453121111133E-2</v>
      </c>
      <c r="AW3" s="466">
        <v>2.1205986611954164E-2</v>
      </c>
      <c r="AX3" s="466">
        <v>7.1491504124769718E-3</v>
      </c>
      <c r="AY3" s="466">
        <v>3.4589279795612465E-2</v>
      </c>
      <c r="AZ3" s="466">
        <v>5.5365584468802055E-2</v>
      </c>
      <c r="BA3" s="466">
        <v>9.9766180708504015E-2</v>
      </c>
      <c r="BB3" s="466">
        <v>4.2243948847130071E-2</v>
      </c>
      <c r="BC3" s="464"/>
      <c r="BD3" s="466">
        <v>5.0264170771721614E-2</v>
      </c>
      <c r="BE3" s="466">
        <v>0.10740653561796541</v>
      </c>
      <c r="BF3" s="466">
        <v>0.17556161249877927</v>
      </c>
      <c r="BG3" s="466">
        <v>8.7381578449222119E-2</v>
      </c>
      <c r="BH3" s="466">
        <v>3.8236023399908683E-2</v>
      </c>
      <c r="BI3" s="466">
        <v>6.2884914572496287E-2</v>
      </c>
      <c r="BJ3" s="466">
        <v>0.11420455696515916</v>
      </c>
      <c r="BK3" s="466">
        <v>4.9547218778528322E-2</v>
      </c>
      <c r="BL3" s="466">
        <v>1.2519865084165241E-2</v>
      </c>
      <c r="BM3" s="466">
        <v>1.3403030465055575E-2</v>
      </c>
      <c r="BN3" s="466">
        <v>2.0145687281356454E-2</v>
      </c>
      <c r="BO3" s="466">
        <v>6.7916928918531228E-3</v>
      </c>
      <c r="BP3" s="466">
        <v>3.2859815805831839E-2</v>
      </c>
      <c r="BQ3" s="466">
        <v>5.259730524536195E-2</v>
      </c>
      <c r="BR3" s="466">
        <v>9.4777871673078815E-2</v>
      </c>
      <c r="BS3" s="466">
        <v>4.0131751404773562E-2</v>
      </c>
      <c r="BT3" s="458" t="s">
        <v>456</v>
      </c>
    </row>
    <row r="4" spans="2:72" ht="12" customHeight="1">
      <c r="B4" s="36" t="s">
        <v>933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950</v>
      </c>
      <c r="I4" s="44" t="s">
        <v>1005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933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467" t="str">
        <f>"*H_"&amp;"*"&amp;RIGHT(AH4,LEN(AH4)-3)&amp;"_"&amp;SETUP!B64</f>
        <v>*H_*COAHAR_X0</v>
      </c>
      <c r="AF4" s="467" t="e">
        <f>COMM!#REF!&amp;"_"&amp;SETUP!C64</f>
        <v>#REF!</v>
      </c>
      <c r="AG4" s="467" t="e">
        <f>RSD_Balance!#REF!</f>
        <v>#REF!</v>
      </c>
      <c r="AH4" s="467" t="s">
        <v>633</v>
      </c>
      <c r="AI4" s="467">
        <v>1</v>
      </c>
      <c r="AJ4" s="467"/>
      <c r="AK4" s="467"/>
      <c r="AL4" s="467"/>
      <c r="AM4" s="467">
        <v>5.2909653443917494E-2</v>
      </c>
      <c r="AN4" s="467">
        <v>0.1130595111768057</v>
      </c>
      <c r="AO4" s="467">
        <v>0.18480169736713609</v>
      </c>
      <c r="AP4" s="467">
        <v>9.1980608893918028E-2</v>
      </c>
      <c r="AQ4" s="467">
        <v>4.0248445684114405E-2</v>
      </c>
      <c r="AR4" s="467">
        <v>6.6194646918417144E-2</v>
      </c>
      <c r="AS4" s="467">
        <v>0.12021532312122017</v>
      </c>
      <c r="AT4" s="467">
        <v>5.2154967135292975E-2</v>
      </c>
      <c r="AU4" s="467">
        <v>1.3178805351752886E-2</v>
      </c>
      <c r="AV4" s="467">
        <v>1.4108453121111133E-2</v>
      </c>
      <c r="AW4" s="467">
        <v>2.1205986611954164E-2</v>
      </c>
      <c r="AX4" s="467">
        <v>7.1491504124769718E-3</v>
      </c>
      <c r="AY4" s="467">
        <v>3.4589279795612465E-2</v>
      </c>
      <c r="AZ4" s="467">
        <v>5.5365584468802055E-2</v>
      </c>
      <c r="BA4" s="467">
        <v>9.9766180708504015E-2</v>
      </c>
      <c r="BB4" s="467">
        <v>4.2243948847130071E-2</v>
      </c>
      <c r="BC4" s="464"/>
      <c r="BD4" s="467">
        <v>5.0264170771721614E-2</v>
      </c>
      <c r="BE4" s="467">
        <v>0.10740653561796541</v>
      </c>
      <c r="BF4" s="467">
        <v>0.17556161249877927</v>
      </c>
      <c r="BG4" s="467">
        <v>8.7381578449222119E-2</v>
      </c>
      <c r="BH4" s="467">
        <v>3.8236023399908683E-2</v>
      </c>
      <c r="BI4" s="467">
        <v>6.2884914572496287E-2</v>
      </c>
      <c r="BJ4" s="467">
        <v>0.11420455696515916</v>
      </c>
      <c r="BK4" s="467">
        <v>4.9547218778528322E-2</v>
      </c>
      <c r="BL4" s="467">
        <v>1.2519865084165241E-2</v>
      </c>
      <c r="BM4" s="467">
        <v>1.3403030465055575E-2</v>
      </c>
      <c r="BN4" s="467">
        <v>2.0145687281356454E-2</v>
      </c>
      <c r="BO4" s="467">
        <v>6.7916928918531228E-3</v>
      </c>
      <c r="BP4" s="467">
        <v>3.2859815805831839E-2</v>
      </c>
      <c r="BQ4" s="467">
        <v>5.259730524536195E-2</v>
      </c>
      <c r="BR4" s="467">
        <v>9.4777871673078815E-2</v>
      </c>
      <c r="BS4" s="467">
        <v>4.0131751404773562E-2</v>
      </c>
      <c r="BT4" s="458" t="s">
        <v>456</v>
      </c>
    </row>
    <row r="5" spans="2:72" ht="26.25" thickBot="1">
      <c r="B5" s="37" t="s">
        <v>946</v>
      </c>
      <c r="C5" s="37" t="s">
        <v>276</v>
      </c>
      <c r="D5" s="37" t="s">
        <v>277</v>
      </c>
      <c r="E5" s="37" t="s">
        <v>278</v>
      </c>
      <c r="F5" s="37" t="s">
        <v>279</v>
      </c>
      <c r="G5" s="46" t="s">
        <v>280</v>
      </c>
      <c r="H5" s="46" t="s">
        <v>280</v>
      </c>
      <c r="I5" s="46"/>
      <c r="J5" s="45"/>
      <c r="K5" s="45"/>
      <c r="L5" s="45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466" t="str">
        <f>"*H_"&amp;"*"&amp;RIGHT(AH5,LEN(AH5)-3)&amp;"_"&amp;SETUP!B65</f>
        <v>*H_*COAHAR_X1</v>
      </c>
      <c r="AF5" s="466" t="e">
        <f>COMM!#REF!&amp;"_"&amp;SETUP!C65</f>
        <v>#REF!</v>
      </c>
      <c r="AG5" s="466" t="e">
        <f>RSD_Balance!#REF!</f>
        <v>#REF!</v>
      </c>
      <c r="AH5" s="466" t="s">
        <v>633</v>
      </c>
      <c r="AI5" s="466">
        <v>1</v>
      </c>
      <c r="AJ5" s="466"/>
      <c r="AK5" s="466"/>
      <c r="AL5" s="466"/>
      <c r="AM5" s="466">
        <v>5.2909653443917494E-2</v>
      </c>
      <c r="AN5" s="466">
        <v>0.1130595111768057</v>
      </c>
      <c r="AO5" s="466">
        <v>0.18480169736713609</v>
      </c>
      <c r="AP5" s="466">
        <v>9.1980608893918028E-2</v>
      </c>
      <c r="AQ5" s="466">
        <v>4.0248445684114405E-2</v>
      </c>
      <c r="AR5" s="466">
        <v>6.6194646918417144E-2</v>
      </c>
      <c r="AS5" s="466">
        <v>0.12021532312122017</v>
      </c>
      <c r="AT5" s="466">
        <v>5.2154967135292975E-2</v>
      </c>
      <c r="AU5" s="466">
        <v>1.3178805351752886E-2</v>
      </c>
      <c r="AV5" s="466">
        <v>1.4108453121111133E-2</v>
      </c>
      <c r="AW5" s="466">
        <v>2.1205986611954164E-2</v>
      </c>
      <c r="AX5" s="466">
        <v>7.1491504124769718E-3</v>
      </c>
      <c r="AY5" s="466">
        <v>3.4589279795612465E-2</v>
      </c>
      <c r="AZ5" s="466">
        <v>5.5365584468802055E-2</v>
      </c>
      <c r="BA5" s="466">
        <v>9.9766180708504015E-2</v>
      </c>
      <c r="BB5" s="466">
        <v>4.2243948847130071E-2</v>
      </c>
      <c r="BC5" s="464"/>
      <c r="BD5" s="466">
        <v>5.0264170771721614E-2</v>
      </c>
      <c r="BE5" s="466">
        <v>0.10740653561796541</v>
      </c>
      <c r="BF5" s="466">
        <v>0.17556161249877927</v>
      </c>
      <c r="BG5" s="466">
        <v>8.7381578449222119E-2</v>
      </c>
      <c r="BH5" s="466">
        <v>3.8236023399908683E-2</v>
      </c>
      <c r="BI5" s="466">
        <v>6.2884914572496287E-2</v>
      </c>
      <c r="BJ5" s="466">
        <v>0.11420455696515916</v>
      </c>
      <c r="BK5" s="466">
        <v>4.9547218778528322E-2</v>
      </c>
      <c r="BL5" s="466">
        <v>1.2519865084165241E-2</v>
      </c>
      <c r="BM5" s="466">
        <v>1.3403030465055575E-2</v>
      </c>
      <c r="BN5" s="466">
        <v>2.0145687281356454E-2</v>
      </c>
      <c r="BO5" s="466">
        <v>6.7916928918531228E-3</v>
      </c>
      <c r="BP5" s="466">
        <v>3.2859815805831839E-2</v>
      </c>
      <c r="BQ5" s="466">
        <v>5.259730524536195E-2</v>
      </c>
      <c r="BR5" s="466">
        <v>9.4777871673078815E-2</v>
      </c>
      <c r="BS5" s="466">
        <v>4.0131751404773562E-2</v>
      </c>
      <c r="BT5" s="458" t="s">
        <v>456</v>
      </c>
    </row>
    <row r="6" spans="2:72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P6</f>
        <v>R-BLD_Apt</v>
      </c>
      <c r="D6" s="360" t="str">
        <f>Q6</f>
        <v>Residential Building Apartment</v>
      </c>
      <c r="E6" s="361" t="str">
        <f>COMM!O9</f>
        <v>RSDSH_Apt</v>
      </c>
      <c r="F6" s="360" t="str">
        <f>COMM!O6</f>
        <v>RSD_Apt</v>
      </c>
      <c r="G6" s="715">
        <f>IF(DwellingStocks!H29=0,"",DwellingStocks!$I$38/1000)</f>
        <v>206.79888499999998</v>
      </c>
      <c r="H6" s="715">
        <v>172.33</v>
      </c>
      <c r="I6" s="715">
        <v>1</v>
      </c>
      <c r="J6" s="360">
        <v>100</v>
      </c>
      <c r="K6" s="360">
        <v>1</v>
      </c>
      <c r="L6" s="614">
        <f>'SHWLP-Apt'!$AB$27/$G$6</f>
        <v>1.3771395637824167E-2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467" t="str">
        <f>"*H_"&amp;"*"&amp;RIGHT(AH6,LEN(AH6)-3)&amp;"_"&amp;SETUP!B64</f>
        <v>*H_*COACOK_X0</v>
      </c>
      <c r="AF6" s="467" t="e">
        <f>COMM!#REF!&amp;"_"&amp;SETUP!C64</f>
        <v>#REF!</v>
      </c>
      <c r="AG6" s="467" t="e">
        <f>RSD_Balance!#REF!</f>
        <v>#REF!</v>
      </c>
      <c r="AH6" s="467" t="s">
        <v>634</v>
      </c>
      <c r="AI6" s="467">
        <v>1</v>
      </c>
      <c r="AJ6" s="467"/>
      <c r="AK6" s="467"/>
      <c r="AL6" s="467"/>
      <c r="AM6" s="467">
        <v>5.2909653443917494E-2</v>
      </c>
      <c r="AN6" s="467">
        <v>0.1130595111768057</v>
      </c>
      <c r="AO6" s="467">
        <v>0.18480169736713609</v>
      </c>
      <c r="AP6" s="467">
        <v>9.1980608893918028E-2</v>
      </c>
      <c r="AQ6" s="467">
        <v>4.0248445684114405E-2</v>
      </c>
      <c r="AR6" s="467">
        <v>6.6194646918417144E-2</v>
      </c>
      <c r="AS6" s="467">
        <v>0.12021532312122017</v>
      </c>
      <c r="AT6" s="467">
        <v>5.2154967135292975E-2</v>
      </c>
      <c r="AU6" s="467">
        <v>1.3178805351752886E-2</v>
      </c>
      <c r="AV6" s="467">
        <v>1.4108453121111133E-2</v>
      </c>
      <c r="AW6" s="467">
        <v>2.1205986611954164E-2</v>
      </c>
      <c r="AX6" s="467">
        <v>7.1491504124769718E-3</v>
      </c>
      <c r="AY6" s="467">
        <v>3.4589279795612465E-2</v>
      </c>
      <c r="AZ6" s="467">
        <v>5.5365584468802055E-2</v>
      </c>
      <c r="BA6" s="467">
        <v>9.9766180708504015E-2</v>
      </c>
      <c r="BB6" s="467">
        <v>4.2243948847130071E-2</v>
      </c>
      <c r="BC6" s="464"/>
      <c r="BD6" s="467">
        <v>5.0264170771721614E-2</v>
      </c>
      <c r="BE6" s="467">
        <v>0.10740653561796541</v>
      </c>
      <c r="BF6" s="467">
        <v>0.17556161249877927</v>
      </c>
      <c r="BG6" s="467">
        <v>8.7381578449222119E-2</v>
      </c>
      <c r="BH6" s="467">
        <v>3.8236023399908683E-2</v>
      </c>
      <c r="BI6" s="467">
        <v>6.2884914572496287E-2</v>
      </c>
      <c r="BJ6" s="467">
        <v>0.11420455696515916</v>
      </c>
      <c r="BK6" s="467">
        <v>4.9547218778528322E-2</v>
      </c>
      <c r="BL6" s="467">
        <v>1.2519865084165241E-2</v>
      </c>
      <c r="BM6" s="467">
        <v>1.3403030465055575E-2</v>
      </c>
      <c r="BN6" s="467">
        <v>2.0145687281356454E-2</v>
      </c>
      <c r="BO6" s="467">
        <v>6.7916928918531228E-3</v>
      </c>
      <c r="BP6" s="467">
        <v>3.2859815805831839E-2</v>
      </c>
      <c r="BQ6" s="467">
        <v>5.259730524536195E-2</v>
      </c>
      <c r="BR6" s="467">
        <v>9.4777871673078815E-2</v>
      </c>
      <c r="BS6" s="467">
        <v>4.0131751404773562E-2</v>
      </c>
      <c r="BT6" s="458" t="s">
        <v>456</v>
      </c>
    </row>
    <row r="7" spans="2:72" s="290" customFormat="1" ht="12" customHeight="1">
      <c r="B7" s="613"/>
      <c r="C7" s="613"/>
      <c r="D7" s="612"/>
      <c r="E7" s="513" t="str">
        <f>COMM!O12</f>
        <v>RSDSC_Apt</v>
      </c>
      <c r="F7" s="612"/>
      <c r="G7" s="716"/>
      <c r="H7" s="716"/>
      <c r="I7" s="716"/>
      <c r="J7" s="612"/>
      <c r="K7" s="612"/>
      <c r="L7" s="615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4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58"/>
    </row>
    <row r="8" spans="2:72" s="290" customFormat="1" ht="12" customHeight="1">
      <c r="B8" s="360"/>
      <c r="C8" s="360"/>
      <c r="D8" s="360"/>
      <c r="E8" s="361" t="str">
        <f>COMM!O15</f>
        <v>RSDWH_Apt</v>
      </c>
      <c r="F8" s="360"/>
      <c r="G8" s="715"/>
      <c r="H8" s="715"/>
      <c r="I8" s="715"/>
      <c r="J8" s="360"/>
      <c r="K8" s="360"/>
      <c r="L8" s="614">
        <f>'SHWLP-Apt'!$AB$54/$G$6</f>
        <v>1.2402925250898051E-2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4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58"/>
    </row>
    <row r="9" spans="2:72" s="290" customFormat="1" ht="12" customHeight="1">
      <c r="B9" s="613"/>
      <c r="C9" s="613"/>
      <c r="D9" s="612"/>
      <c r="E9" s="513" t="str">
        <f>COMM!O18</f>
        <v>RSDLT_Apt</v>
      </c>
      <c r="F9" s="612"/>
      <c r="G9" s="716"/>
      <c r="H9" s="716"/>
      <c r="I9" s="716"/>
      <c r="J9" s="612"/>
      <c r="K9" s="612"/>
      <c r="L9" s="615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4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58"/>
    </row>
    <row r="10" spans="2:72" s="290" customFormat="1" ht="12" customHeight="1">
      <c r="B10" s="360"/>
      <c r="C10" s="360"/>
      <c r="D10" s="360"/>
      <c r="E10" s="361" t="str">
        <f>COMM!O21</f>
        <v>RSDPF_Apt</v>
      </c>
      <c r="F10" s="360"/>
      <c r="G10" s="715"/>
      <c r="H10" s="715"/>
      <c r="I10" s="715"/>
      <c r="J10" s="360"/>
      <c r="K10" s="360"/>
      <c r="L10" s="614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4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58"/>
    </row>
    <row r="11" spans="2:72" ht="12" customHeight="1">
      <c r="B11" s="613" t="str">
        <f>_xlfn.TEXTJOIN(",",TRUE,IF(LEFT(Regions!$C$3,1)&lt;&gt;"*",Regions!$C$3,""),IF(LEFT(Regions!$D$3,1)&lt;&gt;"*",Regions!$D$3,""))</f>
        <v>IE,National</v>
      </c>
      <c r="C11" s="613" t="str">
        <f>P7</f>
        <v>R-BLD_Att</v>
      </c>
      <c r="D11" s="612" t="str">
        <f>Q7</f>
        <v>Residential Building Attached</v>
      </c>
      <c r="E11" s="513" t="str">
        <f>COMM!O10</f>
        <v>RSDSH_Att</v>
      </c>
      <c r="F11" s="612" t="str">
        <f>COMM!O7</f>
        <v>RSD_Att</v>
      </c>
      <c r="G11" s="716">
        <f>IF(DwellingStocks!H30=0,"",DwellingStocks!$J$38/1000)</f>
        <v>766.35172099999977</v>
      </c>
      <c r="H11" s="716">
        <v>638.63</v>
      </c>
      <c r="I11" s="716">
        <v>1</v>
      </c>
      <c r="J11" s="612">
        <v>100</v>
      </c>
      <c r="K11" s="612">
        <v>1</v>
      </c>
      <c r="L11" s="615">
        <f>'SHWLP-Att'!$AB$27/$G$11</f>
        <v>2.8073008273578573E-2</v>
      </c>
      <c r="M11" s="548"/>
      <c r="T1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466" t="str">
        <f>"*H_"&amp;"*"&amp;RIGHT(AH11,LEN(AH11)-3)&amp;"_"&amp;SETUP!B64</f>
        <v>*H_*COALIG_X0</v>
      </c>
      <c r="AF11" s="466" t="e">
        <f>COMM!#REF!&amp;"_"&amp;SETUP!C64</f>
        <v>#REF!</v>
      </c>
      <c r="AG11" s="466" t="e">
        <f>RSD_Balance!#REF!</f>
        <v>#REF!</v>
      </c>
      <c r="AH11" s="466" t="s">
        <v>635</v>
      </c>
      <c r="AI11" s="466">
        <v>1</v>
      </c>
      <c r="AJ11" s="466"/>
      <c r="AK11" s="466"/>
      <c r="AL11" s="466"/>
      <c r="AM11" s="466">
        <v>5.2909653443917494E-2</v>
      </c>
      <c r="AN11" s="466">
        <v>0.1130595111768057</v>
      </c>
      <c r="AO11" s="466">
        <v>0.18480169736713609</v>
      </c>
      <c r="AP11" s="466">
        <v>9.1980608893918028E-2</v>
      </c>
      <c r="AQ11" s="466">
        <v>4.0248445684114405E-2</v>
      </c>
      <c r="AR11" s="466">
        <v>6.6194646918417144E-2</v>
      </c>
      <c r="AS11" s="466">
        <v>0.12021532312122017</v>
      </c>
      <c r="AT11" s="466">
        <v>5.2154967135292975E-2</v>
      </c>
      <c r="AU11" s="466">
        <v>1.3178805351752886E-2</v>
      </c>
      <c r="AV11" s="466">
        <v>1.4108453121111133E-2</v>
      </c>
      <c r="AW11" s="466">
        <v>2.1205986611954164E-2</v>
      </c>
      <c r="AX11" s="466">
        <v>7.1491504124769718E-3</v>
      </c>
      <c r="AY11" s="466">
        <v>3.4589279795612465E-2</v>
      </c>
      <c r="AZ11" s="466">
        <v>5.5365584468802055E-2</v>
      </c>
      <c r="BA11" s="466">
        <v>9.9766180708504015E-2</v>
      </c>
      <c r="BB11" s="466">
        <v>4.2243948847130071E-2</v>
      </c>
      <c r="BC11" s="464"/>
      <c r="BD11" s="466">
        <v>5.0264170771721614E-2</v>
      </c>
      <c r="BE11" s="466">
        <v>0.10740653561796541</v>
      </c>
      <c r="BF11" s="466">
        <v>0.17556161249877927</v>
      </c>
      <c r="BG11" s="466">
        <v>8.7381578449222119E-2</v>
      </c>
      <c r="BH11" s="466">
        <v>3.8236023399908683E-2</v>
      </c>
      <c r="BI11" s="466">
        <v>6.2884914572496287E-2</v>
      </c>
      <c r="BJ11" s="466">
        <v>0.11420455696515916</v>
      </c>
      <c r="BK11" s="466">
        <v>4.9547218778528322E-2</v>
      </c>
      <c r="BL11" s="466">
        <v>1.2519865084165241E-2</v>
      </c>
      <c r="BM11" s="466">
        <v>1.3403030465055575E-2</v>
      </c>
      <c r="BN11" s="466">
        <v>2.0145687281356454E-2</v>
      </c>
      <c r="BO11" s="466">
        <v>6.7916928918531228E-3</v>
      </c>
      <c r="BP11" s="466">
        <v>3.2859815805831839E-2</v>
      </c>
      <c r="BQ11" s="466">
        <v>5.259730524536195E-2</v>
      </c>
      <c r="BR11" s="466">
        <v>9.4777871673078815E-2</v>
      </c>
      <c r="BS11" s="466">
        <v>4.0131751404773562E-2</v>
      </c>
      <c r="BT11" s="458" t="s">
        <v>456</v>
      </c>
    </row>
    <row r="12" spans="2:72" ht="12" customHeight="1">
      <c r="B12" s="360"/>
      <c r="C12" s="360"/>
      <c r="D12" s="360"/>
      <c r="E12" s="361" t="str">
        <f>COMM!O13</f>
        <v>RSDSC_Att</v>
      </c>
      <c r="F12" s="360"/>
      <c r="G12" s="715"/>
      <c r="H12" s="715"/>
      <c r="I12" s="715"/>
      <c r="J12" s="360"/>
      <c r="K12" s="360"/>
      <c r="L12" s="614">
        <v>0</v>
      </c>
      <c r="M12" s="548"/>
      <c r="T12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467" t="str">
        <f>"*H_"&amp;"*"&amp;RIGHT(AH12,LEN(AH12)-3)&amp;"_"&amp;SETUP!B64</f>
        <v>*H_*PEA_X0</v>
      </c>
      <c r="AF12" s="467" t="str">
        <f>COMM!F7&amp;"_"&amp;SETUP!C64</f>
        <v>Peat to Residential_Existing 00</v>
      </c>
      <c r="AG12" s="467" t="str">
        <f>RSD_Balance!A10</f>
        <v>PEA</v>
      </c>
      <c r="AH12" s="467" t="s">
        <v>458</v>
      </c>
      <c r="AI12" s="467">
        <v>1</v>
      </c>
      <c r="AJ12" s="467"/>
      <c r="AK12" s="467"/>
      <c r="AL12" s="467"/>
      <c r="AM12" s="467">
        <v>5.2909653443917494E-2</v>
      </c>
      <c r="AN12" s="467">
        <v>0.1130595111768057</v>
      </c>
      <c r="AO12" s="467">
        <v>0.18480169736713609</v>
      </c>
      <c r="AP12" s="467">
        <v>9.1980608893918028E-2</v>
      </c>
      <c r="AQ12" s="467">
        <v>4.0248445684114405E-2</v>
      </c>
      <c r="AR12" s="467">
        <v>6.6194646918417144E-2</v>
      </c>
      <c r="AS12" s="467">
        <v>0.12021532312122017</v>
      </c>
      <c r="AT12" s="467">
        <v>5.2154967135292975E-2</v>
      </c>
      <c r="AU12" s="467">
        <v>1.3178805351752886E-2</v>
      </c>
      <c r="AV12" s="467">
        <v>1.4108453121111133E-2</v>
      </c>
      <c r="AW12" s="467">
        <v>2.1205986611954164E-2</v>
      </c>
      <c r="AX12" s="467">
        <v>7.1491504124769718E-3</v>
      </c>
      <c r="AY12" s="467">
        <v>3.4589279795612465E-2</v>
      </c>
      <c r="AZ12" s="467">
        <v>5.5365584468802055E-2</v>
      </c>
      <c r="BA12" s="467">
        <v>9.9766180708504015E-2</v>
      </c>
      <c r="BB12" s="467">
        <v>4.2243948847130071E-2</v>
      </c>
      <c r="BC12" s="464"/>
      <c r="BD12" s="467">
        <v>5.0264170771721614E-2</v>
      </c>
      <c r="BE12" s="467">
        <v>0.10740653561796541</v>
      </c>
      <c r="BF12" s="467">
        <v>0.17556161249877927</v>
      </c>
      <c r="BG12" s="467">
        <v>8.7381578449222119E-2</v>
      </c>
      <c r="BH12" s="467">
        <v>3.8236023399908683E-2</v>
      </c>
      <c r="BI12" s="467">
        <v>6.2884914572496287E-2</v>
      </c>
      <c r="BJ12" s="467">
        <v>0.11420455696515916</v>
      </c>
      <c r="BK12" s="467">
        <v>4.9547218778528322E-2</v>
      </c>
      <c r="BL12" s="467">
        <v>1.2519865084165241E-2</v>
      </c>
      <c r="BM12" s="467">
        <v>1.3403030465055575E-2</v>
      </c>
      <c r="BN12" s="467">
        <v>2.0145687281356454E-2</v>
      </c>
      <c r="BO12" s="467">
        <v>6.7916928918531228E-3</v>
      </c>
      <c r="BP12" s="467">
        <v>3.2859815805831839E-2</v>
      </c>
      <c r="BQ12" s="467">
        <v>5.259730524536195E-2</v>
      </c>
      <c r="BR12" s="467">
        <v>9.4777871673078815E-2</v>
      </c>
      <c r="BS12" s="467">
        <v>4.0131751404773562E-2</v>
      </c>
      <c r="BT12" s="458" t="s">
        <v>456</v>
      </c>
    </row>
    <row r="13" spans="2:72" ht="12" customHeight="1">
      <c r="B13" s="613"/>
      <c r="C13" s="613"/>
      <c r="D13" s="612"/>
      <c r="E13" s="513" t="str">
        <f>COMM!O16</f>
        <v>RSDWH_Att</v>
      </c>
      <c r="F13" s="612"/>
      <c r="G13" s="716"/>
      <c r="H13" s="716"/>
      <c r="I13" s="716"/>
      <c r="J13" s="612"/>
      <c r="K13" s="612"/>
      <c r="L13" s="615">
        <f>'SHWLP-Att'!$AB$54/$G$11</f>
        <v>1.0669890025728108E-2</v>
      </c>
      <c r="M13" s="548"/>
      <c r="T13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466" t="str">
        <f>"*H_"&amp;"*"&amp;RIGHT(AH13,LEN(AH13)-3)&amp;"_"&amp;SETUP!B65</f>
        <v>*H_*PEA_X1</v>
      </c>
      <c r="AF13" s="466" t="str">
        <f>COMM!F7&amp;"_"&amp;SETUP!C65</f>
        <v>Peat to Residential_Existing 01</v>
      </c>
      <c r="AG13" s="466" t="str">
        <f>RSD_Balance!A10</f>
        <v>PEA</v>
      </c>
      <c r="AH13" s="466" t="s">
        <v>458</v>
      </c>
      <c r="AI13" s="466">
        <v>1</v>
      </c>
      <c r="AJ13" s="466"/>
      <c r="AK13" s="466"/>
      <c r="AL13" s="466"/>
      <c r="AM13" s="466">
        <v>5.2909653443917494E-2</v>
      </c>
      <c r="AN13" s="466">
        <v>0.1130595111768057</v>
      </c>
      <c r="AO13" s="466">
        <v>0.18480169736713609</v>
      </c>
      <c r="AP13" s="466">
        <v>9.1980608893918028E-2</v>
      </c>
      <c r="AQ13" s="466">
        <v>4.0248445684114405E-2</v>
      </c>
      <c r="AR13" s="466">
        <v>6.6194646918417144E-2</v>
      </c>
      <c r="AS13" s="466">
        <v>0.12021532312122017</v>
      </c>
      <c r="AT13" s="466">
        <v>5.2154967135292975E-2</v>
      </c>
      <c r="AU13" s="466">
        <v>1.3178805351752886E-2</v>
      </c>
      <c r="AV13" s="466">
        <v>1.4108453121111133E-2</v>
      </c>
      <c r="AW13" s="466">
        <v>2.1205986611954164E-2</v>
      </c>
      <c r="AX13" s="466">
        <v>7.1491504124769718E-3</v>
      </c>
      <c r="AY13" s="466">
        <v>3.4589279795612465E-2</v>
      </c>
      <c r="AZ13" s="466">
        <v>5.5365584468802055E-2</v>
      </c>
      <c r="BA13" s="466">
        <v>9.9766180708504015E-2</v>
      </c>
      <c r="BB13" s="466">
        <v>4.2243948847130071E-2</v>
      </c>
      <c r="BC13" s="464"/>
      <c r="BD13" s="466">
        <v>5.0264170771721614E-2</v>
      </c>
      <c r="BE13" s="466">
        <v>0.10740653561796541</v>
      </c>
      <c r="BF13" s="466">
        <v>0.17556161249877927</v>
      </c>
      <c r="BG13" s="466">
        <v>8.7381578449222119E-2</v>
      </c>
      <c r="BH13" s="466">
        <v>3.8236023399908683E-2</v>
      </c>
      <c r="BI13" s="466">
        <v>6.2884914572496287E-2</v>
      </c>
      <c r="BJ13" s="466">
        <v>0.11420455696515916</v>
      </c>
      <c r="BK13" s="466">
        <v>4.9547218778528322E-2</v>
      </c>
      <c r="BL13" s="466">
        <v>1.2519865084165241E-2</v>
      </c>
      <c r="BM13" s="466">
        <v>1.3403030465055575E-2</v>
      </c>
      <c r="BN13" s="466">
        <v>2.0145687281356454E-2</v>
      </c>
      <c r="BO13" s="466">
        <v>6.7916928918531228E-3</v>
      </c>
      <c r="BP13" s="466">
        <v>3.2859815805831839E-2</v>
      </c>
      <c r="BQ13" s="466">
        <v>5.259730524536195E-2</v>
      </c>
      <c r="BR13" s="466">
        <v>9.4777871673078815E-2</v>
      </c>
      <c r="BS13" s="466">
        <v>4.0131751404773562E-2</v>
      </c>
      <c r="BT13" s="458" t="s">
        <v>456</v>
      </c>
    </row>
    <row r="14" spans="2:72" ht="12" customHeight="1">
      <c r="B14" s="360"/>
      <c r="C14" s="360"/>
      <c r="D14" s="360"/>
      <c r="E14" s="361" t="str">
        <f>COMM!O19</f>
        <v>RSDLT_Att</v>
      </c>
      <c r="F14" s="360"/>
      <c r="G14" s="715"/>
      <c r="H14" s="715"/>
      <c r="I14" s="715"/>
      <c r="J14" s="360"/>
      <c r="K14" s="360"/>
      <c r="L14" s="614">
        <f>'SHWLP-Att'!AB59/$G$11</f>
        <v>9.1487081392159866E-4</v>
      </c>
      <c r="M14" s="548"/>
      <c r="P14" s="548"/>
      <c r="Q14" s="548"/>
      <c r="R14" s="548"/>
      <c r="S14" s="548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467" t="str">
        <f>"*H_"&amp;"*"&amp;RIGHT(AH14,LEN(AH14)-3)&amp;"_"&amp;SETUP!B64</f>
        <v>*H_*OILLPG_X0</v>
      </c>
      <c r="AF14" s="467" t="str">
        <f>COMM!F8&amp;"_"&amp;SETUP!C64</f>
        <v>LPG to Residential_Existing 00</v>
      </c>
      <c r="AG14" s="467" t="str">
        <f>RSD_Balance!A11</f>
        <v>LPG</v>
      </c>
      <c r="AH14" s="467" t="s">
        <v>636</v>
      </c>
      <c r="AI14" s="467">
        <v>1</v>
      </c>
      <c r="AJ14" s="467"/>
      <c r="AK14" s="467"/>
      <c r="AL14" s="467"/>
      <c r="AM14" s="467">
        <v>5.2909653443917494E-2</v>
      </c>
      <c r="AN14" s="467">
        <v>0.1130595111768057</v>
      </c>
      <c r="AO14" s="467">
        <v>0.18480169736713609</v>
      </c>
      <c r="AP14" s="467">
        <v>9.1980608893918028E-2</v>
      </c>
      <c r="AQ14" s="467">
        <v>4.0248445684114405E-2</v>
      </c>
      <c r="AR14" s="467">
        <v>6.6194646918417144E-2</v>
      </c>
      <c r="AS14" s="467">
        <v>0.12021532312122017</v>
      </c>
      <c r="AT14" s="467">
        <v>5.2154967135292975E-2</v>
      </c>
      <c r="AU14" s="467">
        <v>1.3178805351752886E-2</v>
      </c>
      <c r="AV14" s="467">
        <v>1.4108453121111133E-2</v>
      </c>
      <c r="AW14" s="467">
        <v>2.1205986611954164E-2</v>
      </c>
      <c r="AX14" s="467">
        <v>7.1491504124769718E-3</v>
      </c>
      <c r="AY14" s="467">
        <v>3.4589279795612465E-2</v>
      </c>
      <c r="AZ14" s="467">
        <v>5.5365584468802055E-2</v>
      </c>
      <c r="BA14" s="467">
        <v>9.9766180708504015E-2</v>
      </c>
      <c r="BB14" s="467">
        <v>4.2243948847130071E-2</v>
      </c>
      <c r="BC14" s="464"/>
      <c r="BD14" s="467">
        <v>5.0264170771721614E-2</v>
      </c>
      <c r="BE14" s="467">
        <v>0.10740653561796541</v>
      </c>
      <c r="BF14" s="467">
        <v>0.17556161249877927</v>
      </c>
      <c r="BG14" s="467">
        <v>8.7381578449222119E-2</v>
      </c>
      <c r="BH14" s="467">
        <v>3.8236023399908683E-2</v>
      </c>
      <c r="BI14" s="467">
        <v>6.2884914572496287E-2</v>
      </c>
      <c r="BJ14" s="467">
        <v>0.11420455696515916</v>
      </c>
      <c r="BK14" s="467">
        <v>4.9547218778528322E-2</v>
      </c>
      <c r="BL14" s="467">
        <v>1.2519865084165241E-2</v>
      </c>
      <c r="BM14" s="467">
        <v>1.3403030465055575E-2</v>
      </c>
      <c r="BN14" s="467">
        <v>2.0145687281356454E-2</v>
      </c>
      <c r="BO14" s="467">
        <v>6.7916928918531228E-3</v>
      </c>
      <c r="BP14" s="467">
        <v>3.2859815805831839E-2</v>
      </c>
      <c r="BQ14" s="467">
        <v>5.259730524536195E-2</v>
      </c>
      <c r="BR14" s="467">
        <v>9.4777871673078815E-2</v>
      </c>
      <c r="BS14" s="467">
        <v>4.0131751404773562E-2</v>
      </c>
      <c r="BT14" s="458" t="s">
        <v>456</v>
      </c>
    </row>
    <row r="15" spans="2:72" ht="12" customHeight="1">
      <c r="B15" s="613"/>
      <c r="C15" s="613"/>
      <c r="D15" s="612"/>
      <c r="E15" s="513" t="str">
        <f>COMM!O22</f>
        <v>RSDPF_Att</v>
      </c>
      <c r="F15" s="612"/>
      <c r="G15" s="716"/>
      <c r="H15" s="716"/>
      <c r="I15" s="716"/>
      <c r="J15" s="612"/>
      <c r="K15" s="612"/>
      <c r="L15" s="615">
        <f>'SHWLP-Att'!AB60/$G$11</f>
        <v>3.8001436556751221E-4</v>
      </c>
      <c r="M15" s="548"/>
      <c r="P15" s="548"/>
      <c r="Q15" s="548"/>
      <c r="R15" s="548"/>
      <c r="S15" s="548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466" t="str">
        <f>"*H_"&amp;"*"&amp;RIGHT(AH15,LEN(AH15)-3)&amp;"_"&amp;SETUP!B65</f>
        <v>*H_*OILLPG_X1</v>
      </c>
      <c r="AF15" s="466" t="str">
        <f>COMM!F8&amp;"_"&amp;SETUP!C65</f>
        <v>LPG to Residential_Existing 01</v>
      </c>
      <c r="AG15" s="466" t="str">
        <f>RSD_Balance!A11</f>
        <v>LPG</v>
      </c>
      <c r="AH15" s="466" t="s">
        <v>636</v>
      </c>
      <c r="AI15" s="466">
        <v>1</v>
      </c>
      <c r="AJ15" s="466"/>
      <c r="AK15" s="466"/>
      <c r="AL15" s="466"/>
      <c r="AM15" s="466">
        <v>5.2909653443917494E-2</v>
      </c>
      <c r="AN15" s="466">
        <v>0.1130595111768057</v>
      </c>
      <c r="AO15" s="466">
        <v>0.18480169736713609</v>
      </c>
      <c r="AP15" s="466">
        <v>9.1980608893918028E-2</v>
      </c>
      <c r="AQ15" s="466">
        <v>4.0248445684114405E-2</v>
      </c>
      <c r="AR15" s="466">
        <v>6.6194646918417144E-2</v>
      </c>
      <c r="AS15" s="466">
        <v>0.12021532312122017</v>
      </c>
      <c r="AT15" s="466">
        <v>5.2154967135292975E-2</v>
      </c>
      <c r="AU15" s="466">
        <v>1.3178805351752886E-2</v>
      </c>
      <c r="AV15" s="466">
        <v>1.4108453121111133E-2</v>
      </c>
      <c r="AW15" s="466">
        <v>2.1205986611954164E-2</v>
      </c>
      <c r="AX15" s="466">
        <v>7.1491504124769718E-3</v>
      </c>
      <c r="AY15" s="466">
        <v>3.4589279795612465E-2</v>
      </c>
      <c r="AZ15" s="466">
        <v>5.5365584468802055E-2</v>
      </c>
      <c r="BA15" s="466">
        <v>9.9766180708504015E-2</v>
      </c>
      <c r="BB15" s="466">
        <v>4.2243948847130071E-2</v>
      </c>
      <c r="BC15" s="464"/>
      <c r="BD15" s="466">
        <v>5.0264170771721614E-2</v>
      </c>
      <c r="BE15" s="466">
        <v>0.10740653561796541</v>
      </c>
      <c r="BF15" s="466">
        <v>0.17556161249877927</v>
      </c>
      <c r="BG15" s="466">
        <v>8.7381578449222119E-2</v>
      </c>
      <c r="BH15" s="466">
        <v>3.8236023399908683E-2</v>
      </c>
      <c r="BI15" s="466">
        <v>6.2884914572496287E-2</v>
      </c>
      <c r="BJ15" s="466">
        <v>0.11420455696515916</v>
      </c>
      <c r="BK15" s="466">
        <v>4.9547218778528322E-2</v>
      </c>
      <c r="BL15" s="466">
        <v>1.2519865084165241E-2</v>
      </c>
      <c r="BM15" s="466">
        <v>1.3403030465055575E-2</v>
      </c>
      <c r="BN15" s="466">
        <v>2.0145687281356454E-2</v>
      </c>
      <c r="BO15" s="466">
        <v>6.7916928918531228E-3</v>
      </c>
      <c r="BP15" s="466">
        <v>3.2859815805831839E-2</v>
      </c>
      <c r="BQ15" s="466">
        <v>5.259730524536195E-2</v>
      </c>
      <c r="BR15" s="466">
        <v>9.4777871673078815E-2</v>
      </c>
      <c r="BS15" s="466">
        <v>4.0131751404773562E-2</v>
      </c>
      <c r="BT15" s="458" t="s">
        <v>456</v>
      </c>
    </row>
    <row r="16" spans="2:72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P8</f>
        <v>R-BLD_Det</v>
      </c>
      <c r="D16" s="360" t="str">
        <f>Q8</f>
        <v>Residential Building Detached</v>
      </c>
      <c r="E16" s="361" t="str">
        <f>COMM!O11</f>
        <v>RSDSH_Det</v>
      </c>
      <c r="F16" s="360" t="str">
        <f>COMM!O8</f>
        <v>RSD_Det</v>
      </c>
      <c r="G16" s="715">
        <f>IF(DwellingStocks!H34=0,"",DwellingStocks!$K$38/1000)</f>
        <v>724.42972899999995</v>
      </c>
      <c r="H16" s="715">
        <f>G16*0.8333217</f>
        <v>603.68301330081931</v>
      </c>
      <c r="I16" s="715">
        <v>1</v>
      </c>
      <c r="J16" s="360">
        <v>100</v>
      </c>
      <c r="K16" s="360">
        <v>1</v>
      </c>
      <c r="L16" s="614">
        <f>'SHWLP-Det'!$AB$27/$G$16</f>
        <v>5.1538052773154742E-2</v>
      </c>
      <c r="M16" s="548"/>
      <c r="P16" s="548"/>
      <c r="Q16" s="548"/>
      <c r="R16" s="548"/>
      <c r="S16" s="548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467" t="str">
        <f>"*H_"&amp;"*"&amp;RIGHT(AH16,LEN(AH16)-3)&amp;"_"&amp;SETUP!B64</f>
        <v>*H_*OILGSL_X0</v>
      </c>
      <c r="AF16" s="467" t="str">
        <f>COMM!F9&amp;"_"&amp;SETUP!C64</f>
        <v>Gasoline to Residential_Existing 00</v>
      </c>
      <c r="AG16" s="467" t="str">
        <f>RSD_Balance!A12</f>
        <v>GSL</v>
      </c>
      <c r="AH16" s="467" t="s">
        <v>637</v>
      </c>
      <c r="AI16" s="467">
        <v>1</v>
      </c>
      <c r="AJ16" s="467"/>
      <c r="AK16" s="467"/>
      <c r="AL16" s="467"/>
      <c r="AM16" s="467">
        <v>5.2909653443917494E-2</v>
      </c>
      <c r="AN16" s="467">
        <v>0.1130595111768057</v>
      </c>
      <c r="AO16" s="467">
        <v>0.18480169736713609</v>
      </c>
      <c r="AP16" s="467">
        <v>9.1980608893918028E-2</v>
      </c>
      <c r="AQ16" s="467">
        <v>4.0248445684114405E-2</v>
      </c>
      <c r="AR16" s="467">
        <v>6.6194646918417144E-2</v>
      </c>
      <c r="AS16" s="467">
        <v>0.12021532312122017</v>
      </c>
      <c r="AT16" s="467">
        <v>5.2154967135292975E-2</v>
      </c>
      <c r="AU16" s="467">
        <v>1.3178805351752886E-2</v>
      </c>
      <c r="AV16" s="467">
        <v>1.4108453121111133E-2</v>
      </c>
      <c r="AW16" s="467">
        <v>2.1205986611954164E-2</v>
      </c>
      <c r="AX16" s="467">
        <v>7.1491504124769718E-3</v>
      </c>
      <c r="AY16" s="467">
        <v>3.4589279795612465E-2</v>
      </c>
      <c r="AZ16" s="467">
        <v>5.5365584468802055E-2</v>
      </c>
      <c r="BA16" s="467">
        <v>9.9766180708504015E-2</v>
      </c>
      <c r="BB16" s="467">
        <v>4.2243948847130071E-2</v>
      </c>
      <c r="BC16" s="464"/>
      <c r="BD16" s="467">
        <v>5.0264170771721614E-2</v>
      </c>
      <c r="BE16" s="467">
        <v>0.10740653561796541</v>
      </c>
      <c r="BF16" s="467">
        <v>0.17556161249877927</v>
      </c>
      <c r="BG16" s="467">
        <v>8.7381578449222119E-2</v>
      </c>
      <c r="BH16" s="467">
        <v>3.8236023399908683E-2</v>
      </c>
      <c r="BI16" s="467">
        <v>6.2884914572496287E-2</v>
      </c>
      <c r="BJ16" s="467">
        <v>0.11420455696515916</v>
      </c>
      <c r="BK16" s="467">
        <v>4.9547218778528322E-2</v>
      </c>
      <c r="BL16" s="467">
        <v>1.2519865084165241E-2</v>
      </c>
      <c r="BM16" s="467">
        <v>1.3403030465055575E-2</v>
      </c>
      <c r="BN16" s="467">
        <v>2.0145687281356454E-2</v>
      </c>
      <c r="BO16" s="467">
        <v>6.7916928918531228E-3</v>
      </c>
      <c r="BP16" s="467">
        <v>3.2859815805831839E-2</v>
      </c>
      <c r="BQ16" s="467">
        <v>5.259730524536195E-2</v>
      </c>
      <c r="BR16" s="467">
        <v>9.4777871673078815E-2</v>
      </c>
      <c r="BS16" s="467">
        <v>4.0131751404773562E-2</v>
      </c>
      <c r="BT16" s="458" t="s">
        <v>456</v>
      </c>
    </row>
    <row r="17" spans="2:72" ht="12" customHeight="1">
      <c r="B17" s="613"/>
      <c r="C17" s="613"/>
      <c r="D17" s="612"/>
      <c r="E17" s="513" t="str">
        <f>COMM!O14</f>
        <v>RSDSC_Det</v>
      </c>
      <c r="F17" s="612"/>
      <c r="G17" s="613"/>
      <c r="H17" s="613"/>
      <c r="I17" s="613"/>
      <c r="J17" s="612"/>
      <c r="K17" s="612"/>
      <c r="L17" s="615">
        <v>0</v>
      </c>
      <c r="M17" s="290"/>
      <c r="P17" s="548"/>
      <c r="Q17" s="548"/>
      <c r="R17" s="548"/>
      <c r="S17" s="548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466" t="str">
        <f>"*H_"&amp;"*"&amp;RIGHT(AH17,LEN(AH17)-3)&amp;"_"&amp;SETUP!B64</f>
        <v>*H_*OILKER_X0</v>
      </c>
      <c r="AF17" s="466" t="str">
        <f>COMM!F10&amp;"_"&amp;SETUP!C64</f>
        <v>Kerosene to Residential_Existing 00</v>
      </c>
      <c r="AG17" s="466" t="str">
        <f>RSD_Balance!A13</f>
        <v>KER</v>
      </c>
      <c r="AH17" s="466" t="s">
        <v>638</v>
      </c>
      <c r="AI17" s="466">
        <v>0.84</v>
      </c>
      <c r="AJ17" s="466"/>
      <c r="AK17" s="466"/>
      <c r="AL17" s="466"/>
      <c r="AM17" s="466">
        <v>5.2909653443917494E-2</v>
      </c>
      <c r="AN17" s="466">
        <v>0.1130595111768057</v>
      </c>
      <c r="AO17" s="466">
        <v>0.18480169736713609</v>
      </c>
      <c r="AP17" s="466">
        <v>9.1980608893918028E-2</v>
      </c>
      <c r="AQ17" s="466">
        <v>4.0248445684114405E-2</v>
      </c>
      <c r="AR17" s="466">
        <v>6.6194646918417144E-2</v>
      </c>
      <c r="AS17" s="466">
        <v>0.12021532312122017</v>
      </c>
      <c r="AT17" s="466">
        <v>5.2154967135292975E-2</v>
      </c>
      <c r="AU17" s="466">
        <v>1.3178805351752886E-2</v>
      </c>
      <c r="AV17" s="466">
        <v>1.4108453121111133E-2</v>
      </c>
      <c r="AW17" s="466">
        <v>2.1205986611954164E-2</v>
      </c>
      <c r="AX17" s="466">
        <v>7.1491504124769718E-3</v>
      </c>
      <c r="AY17" s="466">
        <v>3.4589279795612465E-2</v>
      </c>
      <c r="AZ17" s="466">
        <v>5.5365584468802055E-2</v>
      </c>
      <c r="BA17" s="466">
        <v>9.9766180708504015E-2</v>
      </c>
      <c r="BB17" s="466">
        <v>4.2243948847130071E-2</v>
      </c>
      <c r="BC17" s="464"/>
      <c r="BD17" s="466">
        <v>5.0264170771721614E-2</v>
      </c>
      <c r="BE17" s="466">
        <v>0.10740653561796541</v>
      </c>
      <c r="BF17" s="466">
        <v>0.17556161249877927</v>
      </c>
      <c r="BG17" s="466">
        <v>8.7381578449222119E-2</v>
      </c>
      <c r="BH17" s="466">
        <v>3.8236023399908683E-2</v>
      </c>
      <c r="BI17" s="466">
        <v>6.2884914572496287E-2</v>
      </c>
      <c r="BJ17" s="466">
        <v>0.11420455696515916</v>
      </c>
      <c r="BK17" s="466">
        <v>4.9547218778528322E-2</v>
      </c>
      <c r="BL17" s="466">
        <v>1.2519865084165241E-2</v>
      </c>
      <c r="BM17" s="466">
        <v>1.3403030465055575E-2</v>
      </c>
      <c r="BN17" s="466">
        <v>2.0145687281356454E-2</v>
      </c>
      <c r="BO17" s="466">
        <v>6.7916928918531228E-3</v>
      </c>
      <c r="BP17" s="466">
        <v>3.2859815805831839E-2</v>
      </c>
      <c r="BQ17" s="466">
        <v>5.259730524536195E-2</v>
      </c>
      <c r="BR17" s="466">
        <v>9.4777871673078815E-2</v>
      </c>
      <c r="BS17" s="466">
        <v>4.0131751404773562E-2</v>
      </c>
      <c r="BT17" s="458" t="s">
        <v>456</v>
      </c>
    </row>
    <row r="18" spans="2:72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2"/>
      <c r="J18" s="360"/>
      <c r="K18" s="360"/>
      <c r="L18" s="614">
        <f>'SHWLP-Det'!AB54/$G$16</f>
        <v>1.36612335853863E-2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467" t="str">
        <f>"*H_"&amp;"*"&amp;RIGHT(AH17,LEN(AH17)-3)&amp;"_"&amp;SETUP!B64</f>
        <v>*H_*OILKER_X0</v>
      </c>
      <c r="AF18" s="467" t="str">
        <f>COMM!F10&amp;"_"&amp;SETUP!C64</f>
        <v>Kerosene to Residential_Existing 00</v>
      </c>
      <c r="AG18" s="467"/>
      <c r="AH18" s="467" t="s">
        <v>639</v>
      </c>
      <c r="AI18" s="467">
        <v>0.16</v>
      </c>
      <c r="AJ18" s="467"/>
      <c r="AK18" s="467"/>
      <c r="AL18" s="467"/>
      <c r="AM18" s="467">
        <v>5.2909653443917494E-2</v>
      </c>
      <c r="AN18" s="467">
        <v>0.1130595111768057</v>
      </c>
      <c r="AO18" s="467">
        <v>0.18480169736713609</v>
      </c>
      <c r="AP18" s="467">
        <v>9.1980608893918028E-2</v>
      </c>
      <c r="AQ18" s="467">
        <v>4.0248445684114405E-2</v>
      </c>
      <c r="AR18" s="467">
        <v>6.6194646918417144E-2</v>
      </c>
      <c r="AS18" s="467">
        <v>0.12021532312122017</v>
      </c>
      <c r="AT18" s="467">
        <v>5.2154967135292975E-2</v>
      </c>
      <c r="AU18" s="467">
        <v>1.3178805351752886E-2</v>
      </c>
      <c r="AV18" s="467">
        <v>1.4108453121111133E-2</v>
      </c>
      <c r="AW18" s="467">
        <v>2.1205986611954164E-2</v>
      </c>
      <c r="AX18" s="467">
        <v>7.1491504124769718E-3</v>
      </c>
      <c r="AY18" s="467">
        <v>3.4589279795612465E-2</v>
      </c>
      <c r="AZ18" s="467">
        <v>5.5365584468802055E-2</v>
      </c>
      <c r="BA18" s="467">
        <v>9.9766180708504015E-2</v>
      </c>
      <c r="BB18" s="467">
        <v>4.2243948847130071E-2</v>
      </c>
      <c r="BC18" s="464"/>
      <c r="BD18" s="467">
        <v>5.0264170771721614E-2</v>
      </c>
      <c r="BE18" s="467">
        <v>0.10740653561796541</v>
      </c>
      <c r="BF18" s="467">
        <v>0.17556161249877927</v>
      </c>
      <c r="BG18" s="467">
        <v>8.7381578449222119E-2</v>
      </c>
      <c r="BH18" s="467">
        <v>3.8236023399908683E-2</v>
      </c>
      <c r="BI18" s="467">
        <v>6.2884914572496287E-2</v>
      </c>
      <c r="BJ18" s="467">
        <v>0.11420455696515916</v>
      </c>
      <c r="BK18" s="467">
        <v>4.9547218778528322E-2</v>
      </c>
      <c r="BL18" s="467">
        <v>1.2519865084165241E-2</v>
      </c>
      <c r="BM18" s="467">
        <v>1.3403030465055575E-2</v>
      </c>
      <c r="BN18" s="467">
        <v>2.0145687281356454E-2</v>
      </c>
      <c r="BO18" s="467">
        <v>6.7916928918531228E-3</v>
      </c>
      <c r="BP18" s="467">
        <v>3.2859815805831839E-2</v>
      </c>
      <c r="BQ18" s="467">
        <v>5.259730524536195E-2</v>
      </c>
      <c r="BR18" s="467">
        <v>9.4777871673078815E-2</v>
      </c>
      <c r="BS18" s="467">
        <v>4.0131751404773562E-2</v>
      </c>
      <c r="BT18" s="458" t="s">
        <v>456</v>
      </c>
    </row>
    <row r="19" spans="2:72" ht="12" customHeight="1">
      <c r="B19" s="613"/>
      <c r="C19" s="613"/>
      <c r="D19" s="612"/>
      <c r="E19" s="513" t="str">
        <f>COMM!O20</f>
        <v>RSDLT_Det</v>
      </c>
      <c r="F19" s="612"/>
      <c r="G19" s="613"/>
      <c r="H19" s="613"/>
      <c r="I19" s="613"/>
      <c r="J19" s="612"/>
      <c r="K19" s="612"/>
      <c r="L19" s="615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466" t="str">
        <f>"*H_"&amp;"*"&amp;RIGHT(AH19,LEN(AH19)-3)&amp;"_"&amp;SETUP!B64</f>
        <v>*H_*OILHFO_X0</v>
      </c>
      <c r="AF19" s="466" t="str">
        <f>COMM!F12&amp;"_"&amp;SETUP!C64</f>
        <v>Fueloil to Residential_Existing 00</v>
      </c>
      <c r="AG19" s="466" t="str">
        <f>RSD_Balance!A15</f>
        <v>HFO</v>
      </c>
      <c r="AH19" s="466" t="s">
        <v>640</v>
      </c>
      <c r="AI19" s="466">
        <v>1</v>
      </c>
      <c r="AJ19" s="466"/>
      <c r="AK19" s="466"/>
      <c r="AL19" s="466"/>
      <c r="AM19" s="466">
        <v>5.2909653443917494E-2</v>
      </c>
      <c r="AN19" s="466">
        <v>0.1130595111768057</v>
      </c>
      <c r="AO19" s="466">
        <v>0.18480169736713609</v>
      </c>
      <c r="AP19" s="466">
        <v>9.1980608893918028E-2</v>
      </c>
      <c r="AQ19" s="466">
        <v>4.0248445684114405E-2</v>
      </c>
      <c r="AR19" s="466">
        <v>6.6194646918417144E-2</v>
      </c>
      <c r="AS19" s="466">
        <v>0.12021532312122017</v>
      </c>
      <c r="AT19" s="466">
        <v>5.2154967135292975E-2</v>
      </c>
      <c r="AU19" s="466">
        <v>1.3178805351752886E-2</v>
      </c>
      <c r="AV19" s="466">
        <v>1.4108453121111133E-2</v>
      </c>
      <c r="AW19" s="466">
        <v>2.1205986611954164E-2</v>
      </c>
      <c r="AX19" s="466">
        <v>7.1491504124769718E-3</v>
      </c>
      <c r="AY19" s="466">
        <v>3.4589279795612465E-2</v>
      </c>
      <c r="AZ19" s="466">
        <v>5.5365584468802055E-2</v>
      </c>
      <c r="BA19" s="466">
        <v>9.9766180708504015E-2</v>
      </c>
      <c r="BB19" s="466">
        <v>4.2243948847130071E-2</v>
      </c>
      <c r="BC19" s="464"/>
      <c r="BD19" s="466">
        <v>5.0264170771721614E-2</v>
      </c>
      <c r="BE19" s="466">
        <v>0.10740653561796541</v>
      </c>
      <c r="BF19" s="466">
        <v>0.17556161249877927</v>
      </c>
      <c r="BG19" s="466">
        <v>8.7381578449222119E-2</v>
      </c>
      <c r="BH19" s="466">
        <v>3.8236023399908683E-2</v>
      </c>
      <c r="BI19" s="466">
        <v>6.2884914572496287E-2</v>
      </c>
      <c r="BJ19" s="466">
        <v>0.11420455696515916</v>
      </c>
      <c r="BK19" s="466">
        <v>4.9547218778528322E-2</v>
      </c>
      <c r="BL19" s="466">
        <v>1.2519865084165241E-2</v>
      </c>
      <c r="BM19" s="466">
        <v>1.3403030465055575E-2</v>
      </c>
      <c r="BN19" s="466">
        <v>2.0145687281356454E-2</v>
      </c>
      <c r="BO19" s="466">
        <v>6.7916928918531228E-3</v>
      </c>
      <c r="BP19" s="466">
        <v>3.2859815805831839E-2</v>
      </c>
      <c r="BQ19" s="466">
        <v>5.259730524536195E-2</v>
      </c>
      <c r="BR19" s="466">
        <v>9.4777871673078815E-2</v>
      </c>
      <c r="BS19" s="466">
        <v>4.0131751404773562E-2</v>
      </c>
      <c r="BT19" s="458" t="s">
        <v>456</v>
      </c>
    </row>
    <row r="20" spans="2:72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2"/>
      <c r="J20" s="360"/>
      <c r="K20" s="360"/>
      <c r="L20" s="614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467" t="str">
        <f>"*H_"&amp;"*"&amp;RIGHT(AH20,LEN(AH20)-3)&amp;"_"&amp;SETUP!B64</f>
        <v>*H_*OILCOK_X0</v>
      </c>
      <c r="AF20" s="467" t="str">
        <f>COMM!F13&amp;"_"&amp;SETUP!C64</f>
        <v>Petroleum Coke to Residential_Existing 00</v>
      </c>
      <c r="AG20" s="467" t="str">
        <f>RSD_Balance!A16</f>
        <v>COK</v>
      </c>
      <c r="AH20" s="467" t="s">
        <v>641</v>
      </c>
      <c r="AI20" s="467">
        <v>1</v>
      </c>
      <c r="AJ20" s="467"/>
      <c r="AK20" s="467"/>
      <c r="AL20" s="467"/>
      <c r="AM20" s="467">
        <v>5.2909653443917494E-2</v>
      </c>
      <c r="AN20" s="467">
        <v>0.1130595111768057</v>
      </c>
      <c r="AO20" s="467">
        <v>0.18480169736713609</v>
      </c>
      <c r="AP20" s="467">
        <v>9.1980608893918028E-2</v>
      </c>
      <c r="AQ20" s="467">
        <v>4.0248445684114405E-2</v>
      </c>
      <c r="AR20" s="467">
        <v>6.6194646918417144E-2</v>
      </c>
      <c r="AS20" s="467">
        <v>0.12021532312122017</v>
      </c>
      <c r="AT20" s="467">
        <v>5.2154967135292975E-2</v>
      </c>
      <c r="AU20" s="467">
        <v>1.3178805351752886E-2</v>
      </c>
      <c r="AV20" s="467">
        <v>1.4108453121111133E-2</v>
      </c>
      <c r="AW20" s="467">
        <v>2.1205986611954164E-2</v>
      </c>
      <c r="AX20" s="467">
        <v>7.1491504124769718E-3</v>
      </c>
      <c r="AY20" s="467">
        <v>3.4589279795612465E-2</v>
      </c>
      <c r="AZ20" s="467">
        <v>5.5365584468802055E-2</v>
      </c>
      <c r="BA20" s="467">
        <v>9.9766180708504015E-2</v>
      </c>
      <c r="BB20" s="467">
        <v>4.2243948847130071E-2</v>
      </c>
      <c r="BC20" s="464"/>
      <c r="BD20" s="467">
        <v>5.0264170771721614E-2</v>
      </c>
      <c r="BE20" s="467">
        <v>0.10740653561796541</v>
      </c>
      <c r="BF20" s="467">
        <v>0.17556161249877927</v>
      </c>
      <c r="BG20" s="467">
        <v>8.7381578449222119E-2</v>
      </c>
      <c r="BH20" s="467">
        <v>3.8236023399908683E-2</v>
      </c>
      <c r="BI20" s="467">
        <v>6.2884914572496287E-2</v>
      </c>
      <c r="BJ20" s="467">
        <v>0.11420455696515916</v>
      </c>
      <c r="BK20" s="467">
        <v>4.9547218778528322E-2</v>
      </c>
      <c r="BL20" s="467">
        <v>1.2519865084165241E-2</v>
      </c>
      <c r="BM20" s="467">
        <v>1.3403030465055575E-2</v>
      </c>
      <c r="BN20" s="467">
        <v>2.0145687281356454E-2</v>
      </c>
      <c r="BO20" s="467">
        <v>6.7916928918531228E-3</v>
      </c>
      <c r="BP20" s="467">
        <v>3.2859815805831839E-2</v>
      </c>
      <c r="BQ20" s="467">
        <v>5.259730524536195E-2</v>
      </c>
      <c r="BR20" s="467">
        <v>9.4777871673078815E-2</v>
      </c>
      <c r="BS20" s="467">
        <v>4.0131751404773562E-2</v>
      </c>
      <c r="BT20" s="458" t="s">
        <v>456</v>
      </c>
    </row>
    <row r="21" spans="2:72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466" t="str">
        <f>"*H_"&amp;"*"&amp;RIGHT(AH21,LEN(AH21)-3)&amp;"_"&amp;SETUP!B64</f>
        <v>*H_*GASNAT_X0</v>
      </c>
      <c r="AF21" s="466" t="str">
        <f>COMM!F14&amp;"_"&amp;SETUP!C64</f>
        <v>Natural Gas to Residential_Existing 00</v>
      </c>
      <c r="AG21" s="466" t="str">
        <f>RSD_Balance!A17</f>
        <v>GAS</v>
      </c>
      <c r="AH21" s="466" t="s">
        <v>642</v>
      </c>
      <c r="AI21" s="466">
        <v>1</v>
      </c>
      <c r="AJ21" s="466"/>
      <c r="AK21" s="466"/>
      <c r="AL21" s="466"/>
      <c r="AM21" s="466">
        <v>5.2909653443917494E-2</v>
      </c>
      <c r="AN21" s="466">
        <v>0.1130595111768057</v>
      </c>
      <c r="AO21" s="466">
        <v>0.18480169736713609</v>
      </c>
      <c r="AP21" s="466">
        <v>9.1980608893918028E-2</v>
      </c>
      <c r="AQ21" s="466">
        <v>4.0248445684114405E-2</v>
      </c>
      <c r="AR21" s="466">
        <v>6.6194646918417144E-2</v>
      </c>
      <c r="AS21" s="466">
        <v>0.12021532312122017</v>
      </c>
      <c r="AT21" s="466">
        <v>5.2154967135292975E-2</v>
      </c>
      <c r="AU21" s="466">
        <v>1.3178805351752886E-2</v>
      </c>
      <c r="AV21" s="466">
        <v>1.4108453121111133E-2</v>
      </c>
      <c r="AW21" s="466">
        <v>2.1205986611954164E-2</v>
      </c>
      <c r="AX21" s="466">
        <v>7.1491504124769718E-3</v>
      </c>
      <c r="AY21" s="466">
        <v>3.4589279795612465E-2</v>
      </c>
      <c r="AZ21" s="466">
        <v>5.5365584468802055E-2</v>
      </c>
      <c r="BA21" s="466">
        <v>9.9766180708504015E-2</v>
      </c>
      <c r="BB21" s="466">
        <v>4.2243948847130071E-2</v>
      </c>
      <c r="BC21" s="464"/>
      <c r="BD21" s="466">
        <v>5.0264170771721614E-2</v>
      </c>
      <c r="BE21" s="466">
        <v>0.10740653561796541</v>
      </c>
      <c r="BF21" s="466">
        <v>0.17556161249877927</v>
      </c>
      <c r="BG21" s="466">
        <v>8.7381578449222119E-2</v>
      </c>
      <c r="BH21" s="466">
        <v>3.8236023399908683E-2</v>
      </c>
      <c r="BI21" s="466">
        <v>6.2884914572496287E-2</v>
      </c>
      <c r="BJ21" s="466">
        <v>0.11420455696515916</v>
      </c>
      <c r="BK21" s="466">
        <v>4.9547218778528322E-2</v>
      </c>
      <c r="BL21" s="466">
        <v>1.2519865084165241E-2</v>
      </c>
      <c r="BM21" s="466">
        <v>1.3403030465055575E-2</v>
      </c>
      <c r="BN21" s="466">
        <v>2.0145687281356454E-2</v>
      </c>
      <c r="BO21" s="466">
        <v>6.7916928918531228E-3</v>
      </c>
      <c r="BP21" s="466">
        <v>3.2859815805831839E-2</v>
      </c>
      <c r="BQ21" s="466">
        <v>5.259730524536195E-2</v>
      </c>
      <c r="BR21" s="466">
        <v>9.4777871673078815E-2</v>
      </c>
      <c r="BS21" s="466">
        <v>4.0131751404773562E-2</v>
      </c>
      <c r="BT21" s="458" t="s">
        <v>456</v>
      </c>
    </row>
    <row r="22" spans="2:72" ht="12" customHeight="1">
      <c r="K22" s="290"/>
      <c r="O22" s="548"/>
      <c r="P22" s="548"/>
      <c r="Q22" s="548"/>
      <c r="R22" s="548"/>
      <c r="S22" s="548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467" t="str">
        <f>"*H_"&amp;"*"&amp;RIGHT(AH22,LEN(AH22)-3)&amp;"_"&amp;SETUP!B64</f>
        <v>*H_*RENSOL_X0</v>
      </c>
      <c r="AF22" s="467" t="str">
        <f>COMM!F15&amp;"_"&amp;SETUP!C64</f>
        <v>Solar Thermal to Residential_Existing 00</v>
      </c>
      <c r="AG22" s="467" t="str">
        <f>RSD_Balance!A18</f>
        <v>SOL</v>
      </c>
      <c r="AH22" s="467" t="s">
        <v>643</v>
      </c>
      <c r="AI22" s="467">
        <v>1</v>
      </c>
      <c r="AJ22" s="467"/>
      <c r="AK22" s="467"/>
      <c r="AL22" s="467"/>
      <c r="AM22" s="467">
        <v>0.34623779937084581</v>
      </c>
      <c r="AN22" s="467">
        <v>0.36219925443872714</v>
      </c>
      <c r="AO22" s="467">
        <v>0.57741154264418526</v>
      </c>
      <c r="AP22" s="467">
        <v>0.18318787048379334</v>
      </c>
      <c r="AQ22" s="467">
        <v>0.344526432974474</v>
      </c>
      <c r="AR22" s="467">
        <v>0.36219925443872714</v>
      </c>
      <c r="AS22" s="467">
        <v>0.57741154264418526</v>
      </c>
      <c r="AT22" s="467">
        <v>0.18130815007141382</v>
      </c>
      <c r="AU22" s="467">
        <v>0.30478910007079352</v>
      </c>
      <c r="AV22" s="467">
        <v>0.31505748679387902</v>
      </c>
      <c r="AW22" s="467">
        <v>0.52902041831780355</v>
      </c>
      <c r="AX22" s="467">
        <v>0.1451125372768769</v>
      </c>
      <c r="AY22" s="467">
        <v>0.34060248205914861</v>
      </c>
      <c r="AZ22" s="467">
        <v>0.35978640094448372</v>
      </c>
      <c r="BA22" s="467">
        <v>0.57741154264418526</v>
      </c>
      <c r="BB22" s="467">
        <v>0.17777162205246544</v>
      </c>
      <c r="BC22" s="464"/>
      <c r="BD22" s="467">
        <v>0.32892590940230348</v>
      </c>
      <c r="BE22" s="467">
        <v>0.34408929171679076</v>
      </c>
      <c r="BF22" s="467">
        <v>0.54854096551197595</v>
      </c>
      <c r="BG22" s="467">
        <v>0.17402847695960366</v>
      </c>
      <c r="BH22" s="467">
        <v>0.32730011132575026</v>
      </c>
      <c r="BI22" s="467">
        <v>0.34408929171679076</v>
      </c>
      <c r="BJ22" s="467">
        <v>0.54854096551197595</v>
      </c>
      <c r="BK22" s="467">
        <v>0.17224274256784311</v>
      </c>
      <c r="BL22" s="467">
        <v>0.28954964506725384</v>
      </c>
      <c r="BM22" s="467">
        <v>0.29930461245418505</v>
      </c>
      <c r="BN22" s="467">
        <v>0.50256939740191331</v>
      </c>
      <c r="BO22" s="467">
        <v>0.13785691041303305</v>
      </c>
      <c r="BP22" s="467">
        <v>0.32357235795619116</v>
      </c>
      <c r="BQ22" s="467">
        <v>0.34179708089725952</v>
      </c>
      <c r="BR22" s="467">
        <v>0.54854096551197595</v>
      </c>
      <c r="BS22" s="467">
        <v>0.16888304094984216</v>
      </c>
      <c r="BT22" s="458" t="s">
        <v>456</v>
      </c>
    </row>
    <row r="23" spans="2:72" ht="12" customHeight="1">
      <c r="O23" s="548"/>
      <c r="P23" s="548"/>
      <c r="Q23" s="548"/>
      <c r="R23" s="548"/>
      <c r="S23" s="548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466" t="str">
        <f>"*H_"&amp;"*"&amp;RIGHT(AH23,LEN(AH23)-3)&amp;"_"&amp;SETUP!B64</f>
        <v>*H_*BIOWOO_X0</v>
      </c>
      <c r="AF23" s="466" t="str">
        <f>COMM!F16&amp;"_"&amp;SETUP!C64</f>
        <v>Biomass to Residential_Existing 00</v>
      </c>
      <c r="AG23" s="466" t="str">
        <f>RSD_Balance!A19</f>
        <v>WOO</v>
      </c>
      <c r="AH23" s="466" t="s">
        <v>644</v>
      </c>
      <c r="AI23" s="466">
        <v>1</v>
      </c>
      <c r="AJ23" s="466"/>
      <c r="AK23" s="466"/>
      <c r="AL23" s="466"/>
      <c r="AM23" s="466">
        <v>5.2909653443917494E-2</v>
      </c>
      <c r="AN23" s="466">
        <v>0.1130595111768057</v>
      </c>
      <c r="AO23" s="466">
        <v>0.18480169736713609</v>
      </c>
      <c r="AP23" s="466">
        <v>9.1980608893918028E-2</v>
      </c>
      <c r="AQ23" s="466">
        <v>4.0248445684114405E-2</v>
      </c>
      <c r="AR23" s="466">
        <v>6.6194646918417144E-2</v>
      </c>
      <c r="AS23" s="466">
        <v>0.12021532312122017</v>
      </c>
      <c r="AT23" s="466">
        <v>5.2154967135292975E-2</v>
      </c>
      <c r="AU23" s="466">
        <v>1.3178805351752886E-2</v>
      </c>
      <c r="AV23" s="466">
        <v>1.4108453121111133E-2</v>
      </c>
      <c r="AW23" s="466">
        <v>2.1205986611954164E-2</v>
      </c>
      <c r="AX23" s="466">
        <v>7.1491504124769718E-3</v>
      </c>
      <c r="AY23" s="466">
        <v>3.4589279795612465E-2</v>
      </c>
      <c r="AZ23" s="466">
        <v>5.5365584468802055E-2</v>
      </c>
      <c r="BA23" s="466">
        <v>9.9766180708504015E-2</v>
      </c>
      <c r="BB23" s="466">
        <v>4.2243948847130071E-2</v>
      </c>
      <c r="BC23" s="464"/>
      <c r="BD23" s="466">
        <v>5.0264170771721614E-2</v>
      </c>
      <c r="BE23" s="466">
        <v>0.10740653561796541</v>
      </c>
      <c r="BF23" s="466">
        <v>0.17556161249877927</v>
      </c>
      <c r="BG23" s="466">
        <v>8.7381578449222119E-2</v>
      </c>
      <c r="BH23" s="466">
        <v>3.8236023399908683E-2</v>
      </c>
      <c r="BI23" s="466">
        <v>6.2884914572496287E-2</v>
      </c>
      <c r="BJ23" s="466">
        <v>0.11420455696515916</v>
      </c>
      <c r="BK23" s="466">
        <v>4.9547218778528322E-2</v>
      </c>
      <c r="BL23" s="466">
        <v>1.2519865084165241E-2</v>
      </c>
      <c r="BM23" s="466">
        <v>1.3403030465055575E-2</v>
      </c>
      <c r="BN23" s="466">
        <v>2.0145687281356454E-2</v>
      </c>
      <c r="BO23" s="466">
        <v>6.7916928918531228E-3</v>
      </c>
      <c r="BP23" s="466">
        <v>3.2859815805831839E-2</v>
      </c>
      <c r="BQ23" s="466">
        <v>5.259730524536195E-2</v>
      </c>
      <c r="BR23" s="466">
        <v>9.4777871673078815E-2</v>
      </c>
      <c r="BS23" s="466">
        <v>4.0131751404773562E-2</v>
      </c>
      <c r="BT23" s="458" t="s">
        <v>456</v>
      </c>
    </row>
    <row r="24" spans="2:72" ht="18.75">
      <c r="B24" s="1081" t="s">
        <v>768</v>
      </c>
      <c r="C24" s="1081"/>
      <c r="D24" s="1081"/>
      <c r="E24" s="1081"/>
      <c r="F24" s="1081"/>
      <c r="G24" s="1081"/>
      <c r="M24" s="290"/>
      <c r="N24" s="42"/>
      <c r="O24" s="548"/>
      <c r="P24" s="548"/>
      <c r="Q24" s="548"/>
      <c r="R24" s="548"/>
      <c r="S24" s="548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467" t="str">
        <f>"*H_"&amp;"*"&amp;RIGHT(AH24,LEN(AH24)-3)&amp;"_"&amp;SETUP!B65</f>
        <v>*H_*BIOWOO_X1</v>
      </c>
      <c r="AF24" s="467" t="str">
        <f>COMM!F16&amp;"_"&amp;SETUP!C65</f>
        <v>Biomass to Residential_Existing 01</v>
      </c>
      <c r="AG24" s="467" t="str">
        <f>RSD_Balance!A19</f>
        <v>WOO</v>
      </c>
      <c r="AH24" s="467" t="s">
        <v>644</v>
      </c>
      <c r="AI24" s="467">
        <v>1</v>
      </c>
      <c r="AJ24" s="467"/>
      <c r="AK24" s="467"/>
      <c r="AL24" s="467"/>
      <c r="AM24" s="467">
        <v>5.2909653443917494E-2</v>
      </c>
      <c r="AN24" s="467">
        <v>0.1130595111768057</v>
      </c>
      <c r="AO24" s="467">
        <v>0.18480169736713609</v>
      </c>
      <c r="AP24" s="467">
        <v>9.1980608893918028E-2</v>
      </c>
      <c r="AQ24" s="467">
        <v>4.0248445684114405E-2</v>
      </c>
      <c r="AR24" s="467">
        <v>6.6194646918417144E-2</v>
      </c>
      <c r="AS24" s="467">
        <v>0.12021532312122017</v>
      </c>
      <c r="AT24" s="467">
        <v>5.2154967135292975E-2</v>
      </c>
      <c r="AU24" s="467">
        <v>1.3178805351752886E-2</v>
      </c>
      <c r="AV24" s="467">
        <v>1.4108453121111133E-2</v>
      </c>
      <c r="AW24" s="467">
        <v>2.1205986611954164E-2</v>
      </c>
      <c r="AX24" s="467">
        <v>7.1491504124769718E-3</v>
      </c>
      <c r="AY24" s="467">
        <v>3.4589279795612465E-2</v>
      </c>
      <c r="AZ24" s="467">
        <v>5.5365584468802055E-2</v>
      </c>
      <c r="BA24" s="467">
        <v>9.9766180708504015E-2</v>
      </c>
      <c r="BB24" s="467">
        <v>4.2243948847130071E-2</v>
      </c>
      <c r="BC24" s="464"/>
      <c r="BD24" s="467">
        <v>5.0264170771721614E-2</v>
      </c>
      <c r="BE24" s="467">
        <v>0.10740653561796541</v>
      </c>
      <c r="BF24" s="467">
        <v>0.17556161249877927</v>
      </c>
      <c r="BG24" s="467">
        <v>8.7381578449222119E-2</v>
      </c>
      <c r="BH24" s="467">
        <v>3.8236023399908683E-2</v>
      </c>
      <c r="BI24" s="467">
        <v>6.2884914572496287E-2</v>
      </c>
      <c r="BJ24" s="467">
        <v>0.11420455696515916</v>
      </c>
      <c r="BK24" s="467">
        <v>4.9547218778528322E-2</v>
      </c>
      <c r="BL24" s="467">
        <v>1.2519865084165241E-2</v>
      </c>
      <c r="BM24" s="467">
        <v>1.3403030465055575E-2</v>
      </c>
      <c r="BN24" s="467">
        <v>2.0145687281356454E-2</v>
      </c>
      <c r="BO24" s="467">
        <v>6.7916928918531228E-3</v>
      </c>
      <c r="BP24" s="467">
        <v>3.2859815805831839E-2</v>
      </c>
      <c r="BQ24" s="467">
        <v>5.259730524536195E-2</v>
      </c>
      <c r="BR24" s="467">
        <v>9.4777871673078815E-2</v>
      </c>
      <c r="BS24" s="467">
        <v>4.0131751404773562E-2</v>
      </c>
      <c r="BT24" s="458" t="s">
        <v>456</v>
      </c>
    </row>
    <row r="25" spans="2:72">
      <c r="N25" s="290"/>
      <c r="O25" s="548"/>
      <c r="P25" s="548"/>
      <c r="Q25" s="548"/>
      <c r="R25" s="548"/>
      <c r="S25" s="548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466" t="str">
        <f>"*H_"&amp;"*"&amp;RIGHT(AH25,LEN(AH25)-3)&amp;"_"&amp;SETUP!B66</f>
        <v>*H_*BIOWOO_X2</v>
      </c>
      <c r="AF25" s="466" t="str">
        <f>COMM!F16&amp;"_"&amp;SETUP!C66</f>
        <v>Biomass to Residential_Existing 02</v>
      </c>
      <c r="AG25" s="466" t="str">
        <f>RSD_Balance!A19</f>
        <v>WOO</v>
      </c>
      <c r="AH25" s="466" t="s">
        <v>644</v>
      </c>
      <c r="AI25" s="466">
        <v>1</v>
      </c>
      <c r="AJ25" s="466"/>
      <c r="AK25" s="466"/>
      <c r="AL25" s="466"/>
      <c r="AM25" s="466">
        <v>5.2909653443917494E-2</v>
      </c>
      <c r="AN25" s="466">
        <v>0.1130595111768057</v>
      </c>
      <c r="AO25" s="466">
        <v>0.18480169736713609</v>
      </c>
      <c r="AP25" s="466">
        <v>9.1980608893918028E-2</v>
      </c>
      <c r="AQ25" s="466">
        <v>4.0248445684114405E-2</v>
      </c>
      <c r="AR25" s="466">
        <v>6.6194646918417144E-2</v>
      </c>
      <c r="AS25" s="466">
        <v>0.12021532312122017</v>
      </c>
      <c r="AT25" s="466">
        <v>5.2154967135292975E-2</v>
      </c>
      <c r="AU25" s="466">
        <v>1.3178805351752886E-2</v>
      </c>
      <c r="AV25" s="466">
        <v>1.4108453121111133E-2</v>
      </c>
      <c r="AW25" s="466">
        <v>2.1205986611954164E-2</v>
      </c>
      <c r="AX25" s="466">
        <v>7.1491504124769718E-3</v>
      </c>
      <c r="AY25" s="466">
        <v>3.4589279795612465E-2</v>
      </c>
      <c r="AZ25" s="466">
        <v>5.5365584468802055E-2</v>
      </c>
      <c r="BA25" s="466">
        <v>9.9766180708504015E-2</v>
      </c>
      <c r="BB25" s="466">
        <v>4.2243948847130071E-2</v>
      </c>
      <c r="BC25" s="464"/>
      <c r="BD25" s="466">
        <v>5.0264170771721614E-2</v>
      </c>
      <c r="BE25" s="466">
        <v>0.10740653561796541</v>
      </c>
      <c r="BF25" s="466">
        <v>0.17556161249877927</v>
      </c>
      <c r="BG25" s="466">
        <v>8.7381578449222119E-2</v>
      </c>
      <c r="BH25" s="466">
        <v>3.8236023399908683E-2</v>
      </c>
      <c r="BI25" s="466">
        <v>6.2884914572496287E-2</v>
      </c>
      <c r="BJ25" s="466">
        <v>0.11420455696515916</v>
      </c>
      <c r="BK25" s="466">
        <v>4.9547218778528322E-2</v>
      </c>
      <c r="BL25" s="466">
        <v>1.2519865084165241E-2</v>
      </c>
      <c r="BM25" s="466">
        <v>1.3403030465055575E-2</v>
      </c>
      <c r="BN25" s="466">
        <v>2.0145687281356454E-2</v>
      </c>
      <c r="BO25" s="466">
        <v>6.7916928918531228E-3</v>
      </c>
      <c r="BP25" s="466">
        <v>3.2859815805831839E-2</v>
      </c>
      <c r="BQ25" s="466">
        <v>5.259730524536195E-2</v>
      </c>
      <c r="BR25" s="466">
        <v>9.4777871673078815E-2</v>
      </c>
      <c r="BS25" s="466">
        <v>4.0131751404773562E-2</v>
      </c>
      <c r="BT25" s="458" t="s">
        <v>456</v>
      </c>
    </row>
    <row r="26" spans="2:72" ht="21">
      <c r="B26" s="70" t="s">
        <v>282</v>
      </c>
      <c r="C26" s="70"/>
      <c r="D26" s="70"/>
      <c r="E26" s="67" t="s">
        <v>937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81"/>
      <c r="AB26" s="548"/>
      <c r="AC26" s="548"/>
      <c r="AD26" s="290"/>
      <c r="AE26" s="467" t="str">
        <f>"*H_"&amp;"*"&amp;RIGHT(AH26,LEN(AH26)-3)&amp;"_"&amp;SETUP!B64</f>
        <v>*H_*BIOGAS_X0</v>
      </c>
      <c r="AF26" s="467" t="str">
        <f>COMM!F17&amp;"_"&amp;SETUP!C64</f>
        <v>Biogas to Residential_Existing 00</v>
      </c>
      <c r="AG26" s="467" t="str">
        <f>RSD_Balance!A20</f>
        <v>BGS</v>
      </c>
      <c r="AH26" s="467" t="s">
        <v>645</v>
      </c>
      <c r="AI26" s="467">
        <v>1</v>
      </c>
      <c r="AJ26" s="467"/>
      <c r="AK26" s="467"/>
      <c r="AL26" s="467"/>
      <c r="AM26" s="467">
        <v>5.2909653443917494E-2</v>
      </c>
      <c r="AN26" s="467">
        <v>0.1130595111768057</v>
      </c>
      <c r="AO26" s="467">
        <v>0.18480169736713609</v>
      </c>
      <c r="AP26" s="467">
        <v>9.1980608893918028E-2</v>
      </c>
      <c r="AQ26" s="467">
        <v>4.0248445684114405E-2</v>
      </c>
      <c r="AR26" s="467">
        <v>6.6194646918417144E-2</v>
      </c>
      <c r="AS26" s="467">
        <v>0.12021532312122017</v>
      </c>
      <c r="AT26" s="467">
        <v>5.2154967135292975E-2</v>
      </c>
      <c r="AU26" s="467">
        <v>1.3178805351752886E-2</v>
      </c>
      <c r="AV26" s="467">
        <v>1.4108453121111133E-2</v>
      </c>
      <c r="AW26" s="467">
        <v>2.1205986611954164E-2</v>
      </c>
      <c r="AX26" s="467">
        <v>7.1491504124769718E-3</v>
      </c>
      <c r="AY26" s="467">
        <v>3.4589279795612465E-2</v>
      </c>
      <c r="AZ26" s="467">
        <v>5.5365584468802055E-2</v>
      </c>
      <c r="BA26" s="467">
        <v>9.9766180708504015E-2</v>
      </c>
      <c r="BB26" s="467">
        <v>4.2243948847130071E-2</v>
      </c>
      <c r="BC26" s="464"/>
      <c r="BD26" s="467">
        <v>5.0264170771721614E-2</v>
      </c>
      <c r="BE26" s="467">
        <v>0.10740653561796541</v>
      </c>
      <c r="BF26" s="467">
        <v>0.17556161249877927</v>
      </c>
      <c r="BG26" s="467">
        <v>8.7381578449222119E-2</v>
      </c>
      <c r="BH26" s="467">
        <v>3.8236023399908683E-2</v>
      </c>
      <c r="BI26" s="467">
        <v>6.2884914572496287E-2</v>
      </c>
      <c r="BJ26" s="467">
        <v>0.11420455696515916</v>
      </c>
      <c r="BK26" s="467">
        <v>4.9547218778528322E-2</v>
      </c>
      <c r="BL26" s="467">
        <v>1.2519865084165241E-2</v>
      </c>
      <c r="BM26" s="467">
        <v>1.3403030465055575E-2</v>
      </c>
      <c r="BN26" s="467">
        <v>2.0145687281356454E-2</v>
      </c>
      <c r="BO26" s="467">
        <v>6.7916928918531228E-3</v>
      </c>
      <c r="BP26" s="467">
        <v>3.2859815805831839E-2</v>
      </c>
      <c r="BQ26" s="467">
        <v>5.259730524536195E-2</v>
      </c>
      <c r="BR26" s="467">
        <v>9.4777871673078815E-2</v>
      </c>
      <c r="BS26" s="467">
        <v>4.0131751404773562E-2</v>
      </c>
      <c r="BT26" s="458" t="s">
        <v>456</v>
      </c>
    </row>
    <row r="27" spans="2:72" ht="15">
      <c r="B27" s="320" t="s">
        <v>933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B27" s="548"/>
      <c r="AC27" s="548"/>
      <c r="AD27" s="290"/>
      <c r="AE27" s="466" t="str">
        <f>"*H_"&amp;"*"&amp;RIGHT(AH27,LEN(AH27)-3)&amp;"_"&amp;SETUP!B64</f>
        <v>*H_*BIOMUN_X0</v>
      </c>
      <c r="AF27" s="466" t="str">
        <f>COMM!F18&amp;"_"&amp;SETUP!C64</f>
        <v>Landfill Gas to Residential_Existing 00</v>
      </c>
      <c r="AG27" s="466" t="str">
        <f>RSD_Balance!A21</f>
        <v>BIOMUN</v>
      </c>
      <c r="AH27" s="466" t="s">
        <v>646</v>
      </c>
      <c r="AI27" s="466">
        <v>1</v>
      </c>
      <c r="AJ27" s="466"/>
      <c r="AK27" s="466"/>
      <c r="AL27" s="466"/>
      <c r="AM27" s="466">
        <v>5.2909653443917494E-2</v>
      </c>
      <c r="AN27" s="466">
        <v>0.1130595111768057</v>
      </c>
      <c r="AO27" s="466">
        <v>0.18480169736713609</v>
      </c>
      <c r="AP27" s="466">
        <v>9.1980608893918028E-2</v>
      </c>
      <c r="AQ27" s="466">
        <v>4.0248445684114405E-2</v>
      </c>
      <c r="AR27" s="466">
        <v>6.6194646918417144E-2</v>
      </c>
      <c r="AS27" s="466">
        <v>0.12021532312122017</v>
      </c>
      <c r="AT27" s="466">
        <v>5.2154967135292975E-2</v>
      </c>
      <c r="AU27" s="466">
        <v>1.3178805351752886E-2</v>
      </c>
      <c r="AV27" s="466">
        <v>1.4108453121111133E-2</v>
      </c>
      <c r="AW27" s="466">
        <v>2.1205986611954164E-2</v>
      </c>
      <c r="AX27" s="466">
        <v>7.1491504124769718E-3</v>
      </c>
      <c r="AY27" s="466">
        <v>3.4589279795612465E-2</v>
      </c>
      <c r="AZ27" s="466">
        <v>5.5365584468802055E-2</v>
      </c>
      <c r="BA27" s="466">
        <v>9.9766180708504015E-2</v>
      </c>
      <c r="BB27" s="466">
        <v>4.2243948847130071E-2</v>
      </c>
      <c r="BC27" s="464"/>
      <c r="BD27" s="466">
        <v>5.0264170771721614E-2</v>
      </c>
      <c r="BE27" s="466">
        <v>0.10740653561796541</v>
      </c>
      <c r="BF27" s="466">
        <v>0.17556161249877927</v>
      </c>
      <c r="BG27" s="466">
        <v>8.7381578449222119E-2</v>
      </c>
      <c r="BH27" s="466">
        <v>3.8236023399908683E-2</v>
      </c>
      <c r="BI27" s="466">
        <v>6.2884914572496287E-2</v>
      </c>
      <c r="BJ27" s="466">
        <v>0.11420455696515916</v>
      </c>
      <c r="BK27" s="466">
        <v>4.9547218778528322E-2</v>
      </c>
      <c r="BL27" s="466">
        <v>1.2519865084165241E-2</v>
      </c>
      <c r="BM27" s="466">
        <v>1.3403030465055575E-2</v>
      </c>
      <c r="BN27" s="466">
        <v>2.0145687281356454E-2</v>
      </c>
      <c r="BO27" s="466">
        <v>6.7916928918531228E-3</v>
      </c>
      <c r="BP27" s="466">
        <v>3.2859815805831839E-2</v>
      </c>
      <c r="BQ27" s="466">
        <v>5.259730524536195E-2</v>
      </c>
      <c r="BR27" s="466">
        <v>9.4777871673078815E-2</v>
      </c>
      <c r="BS27" s="466">
        <v>4.0131751404773562E-2</v>
      </c>
      <c r="BT27" s="458" t="s">
        <v>456</v>
      </c>
    </row>
    <row r="28" spans="2:72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17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B28" s="548"/>
      <c r="AC28" s="548"/>
      <c r="AD28" s="290"/>
      <c r="AE28" s="467" t="str">
        <f>"*H_"&amp;"*"&amp;RIGHT(AH28,LEN(AH28)-3)&amp;"_"&amp;SETUP!B64</f>
        <v>*H_*RENGEO_X0</v>
      </c>
      <c r="AF28" s="467" t="str">
        <f>COMM!F19&amp;"_"&amp;SETUP!C64</f>
        <v>Ambient Heat to Residential_Existing 00</v>
      </c>
      <c r="AG28" s="467" t="str">
        <f>RSD_Balance!A22</f>
        <v>AHT</v>
      </c>
      <c r="AH28" s="467" t="s">
        <v>647</v>
      </c>
      <c r="AI28" s="467">
        <v>1</v>
      </c>
      <c r="AJ28" s="467"/>
      <c r="AK28" s="467"/>
      <c r="AL28" s="467"/>
      <c r="AM28" s="467">
        <v>5.2909653443917494E-2</v>
      </c>
      <c r="AN28" s="467">
        <v>0.1130595111768057</v>
      </c>
      <c r="AO28" s="467">
        <v>0.18480169736713609</v>
      </c>
      <c r="AP28" s="467">
        <v>9.1980608893918028E-2</v>
      </c>
      <c r="AQ28" s="467">
        <v>4.0248445684114405E-2</v>
      </c>
      <c r="AR28" s="467">
        <v>6.6194646918417144E-2</v>
      </c>
      <c r="AS28" s="467">
        <v>0.12021532312122017</v>
      </c>
      <c r="AT28" s="467">
        <v>5.2154967135292975E-2</v>
      </c>
      <c r="AU28" s="467">
        <v>1.3178805351752886E-2</v>
      </c>
      <c r="AV28" s="467">
        <v>1.4108453121111133E-2</v>
      </c>
      <c r="AW28" s="467">
        <v>2.1205986611954164E-2</v>
      </c>
      <c r="AX28" s="467">
        <v>7.1491504124769718E-3</v>
      </c>
      <c r="AY28" s="467">
        <v>3.4589279795612465E-2</v>
      </c>
      <c r="AZ28" s="467">
        <v>5.5365584468802055E-2</v>
      </c>
      <c r="BA28" s="467">
        <v>9.9766180708504015E-2</v>
      </c>
      <c r="BB28" s="467">
        <v>4.2243948847130071E-2</v>
      </c>
      <c r="BC28" s="464"/>
      <c r="BD28" s="467">
        <v>5.0264170771721614E-2</v>
      </c>
      <c r="BE28" s="467">
        <v>0.10740653561796541</v>
      </c>
      <c r="BF28" s="467">
        <v>0.17556161249877927</v>
      </c>
      <c r="BG28" s="467">
        <v>8.7381578449222119E-2</v>
      </c>
      <c r="BH28" s="467">
        <v>3.8236023399908683E-2</v>
      </c>
      <c r="BI28" s="467">
        <v>6.2884914572496287E-2</v>
      </c>
      <c r="BJ28" s="467">
        <v>0.11420455696515916</v>
      </c>
      <c r="BK28" s="467">
        <v>4.9547218778528322E-2</v>
      </c>
      <c r="BL28" s="467">
        <v>1.2519865084165241E-2</v>
      </c>
      <c r="BM28" s="467">
        <v>1.3403030465055575E-2</v>
      </c>
      <c r="BN28" s="467">
        <v>2.0145687281356454E-2</v>
      </c>
      <c r="BO28" s="467">
        <v>6.7916928918531228E-3</v>
      </c>
      <c r="BP28" s="467">
        <v>3.2859815805831839E-2</v>
      </c>
      <c r="BQ28" s="467">
        <v>5.259730524536195E-2</v>
      </c>
      <c r="BR28" s="467">
        <v>9.4777871673078815E-2</v>
      </c>
      <c r="BS28" s="467">
        <v>4.0131751404773562E-2</v>
      </c>
      <c r="BT28" s="458" t="s">
        <v>456</v>
      </c>
    </row>
    <row r="29" spans="2:72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18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AB29" s="548"/>
      <c r="AC29" s="548"/>
      <c r="AD29" s="290"/>
      <c r="AE29" s="466" t="str">
        <f>"*H_"&amp;"*"&amp;RIGHT(AH29,LEN(AH29)-3)&amp;"_"&amp;SETUP!B64</f>
        <v>*H_*BIOETH_X0</v>
      </c>
      <c r="AF29" s="466" t="str">
        <f>COMM!F20&amp;"_"&amp;SETUP!C64</f>
        <v>Ethanol to Residential_Existing 00</v>
      </c>
      <c r="AG29" s="466" t="str">
        <f>RSD_Balance!A23</f>
        <v>ETH</v>
      </c>
      <c r="AH29" s="466" t="s">
        <v>648</v>
      </c>
      <c r="AI29" s="466">
        <v>1</v>
      </c>
      <c r="AJ29" s="466"/>
      <c r="AK29" s="466"/>
      <c r="AL29" s="466"/>
      <c r="AM29" s="466">
        <v>5.2909653443917494E-2</v>
      </c>
      <c r="AN29" s="466">
        <v>0.1130595111768057</v>
      </c>
      <c r="AO29" s="466">
        <v>0.18480169736713609</v>
      </c>
      <c r="AP29" s="466">
        <v>9.1980608893918028E-2</v>
      </c>
      <c r="AQ29" s="466">
        <v>4.0248445684114405E-2</v>
      </c>
      <c r="AR29" s="466">
        <v>6.6194646918417144E-2</v>
      </c>
      <c r="AS29" s="466">
        <v>0.12021532312122017</v>
      </c>
      <c r="AT29" s="466">
        <v>5.2154967135292975E-2</v>
      </c>
      <c r="AU29" s="466">
        <v>1.3178805351752886E-2</v>
      </c>
      <c r="AV29" s="466">
        <v>1.4108453121111133E-2</v>
      </c>
      <c r="AW29" s="466">
        <v>2.1205986611954164E-2</v>
      </c>
      <c r="AX29" s="466">
        <v>7.1491504124769718E-3</v>
      </c>
      <c r="AY29" s="466">
        <v>3.4589279795612465E-2</v>
      </c>
      <c r="AZ29" s="466">
        <v>5.5365584468802055E-2</v>
      </c>
      <c r="BA29" s="466">
        <v>9.9766180708504015E-2</v>
      </c>
      <c r="BB29" s="466">
        <v>4.2243948847130071E-2</v>
      </c>
      <c r="BC29" s="464"/>
      <c r="BD29" s="466">
        <v>5.0264170771721614E-2</v>
      </c>
      <c r="BE29" s="466">
        <v>0.10740653561796541</v>
      </c>
      <c r="BF29" s="466">
        <v>0.17556161249877927</v>
      </c>
      <c r="BG29" s="466">
        <v>8.7381578449222119E-2</v>
      </c>
      <c r="BH29" s="466">
        <v>3.8236023399908683E-2</v>
      </c>
      <c r="BI29" s="466">
        <v>6.2884914572496287E-2</v>
      </c>
      <c r="BJ29" s="466">
        <v>0.11420455696515916</v>
      </c>
      <c r="BK29" s="466">
        <v>4.9547218778528322E-2</v>
      </c>
      <c r="BL29" s="466">
        <v>1.2519865084165241E-2</v>
      </c>
      <c r="BM29" s="466">
        <v>1.3403030465055575E-2</v>
      </c>
      <c r="BN29" s="466">
        <v>2.0145687281356454E-2</v>
      </c>
      <c r="BO29" s="466">
        <v>6.7916928918531228E-3</v>
      </c>
      <c r="BP29" s="466">
        <v>3.2859815805831839E-2</v>
      </c>
      <c r="BQ29" s="466">
        <v>5.259730524536195E-2</v>
      </c>
      <c r="BR29" s="466">
        <v>9.4777871673078815E-2</v>
      </c>
      <c r="BS29" s="466">
        <v>4.0131751404773562E-2</v>
      </c>
      <c r="BT29" s="458" t="s">
        <v>456</v>
      </c>
    </row>
    <row r="30" spans="2:72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17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81"/>
      <c r="AB30" s="548"/>
      <c r="AC30" s="548"/>
      <c r="AD30" s="290"/>
      <c r="AE30" s="467" t="str">
        <f>"*H_"&amp;"*"&amp;RIGHT(AH30,LEN(AH30)-3)&amp;"_"&amp;SETUP!B64</f>
        <v>*H_*BIODST_X0</v>
      </c>
      <c r="AF30" s="467" t="str">
        <f>COMM!F21&amp;"_"&amp;SETUP!C64</f>
        <v>Biodiesel to Residential_Existing 00</v>
      </c>
      <c r="AG30" s="467" t="str">
        <f>RSD_Balance!A24</f>
        <v>BDL</v>
      </c>
      <c r="AH30" s="467" t="s">
        <v>649</v>
      </c>
      <c r="AI30" s="467">
        <v>1</v>
      </c>
      <c r="AJ30" s="467"/>
      <c r="AK30" s="467"/>
      <c r="AL30" s="467"/>
      <c r="AM30" s="467">
        <v>5.2909653443917494E-2</v>
      </c>
      <c r="AN30" s="467">
        <v>0.1130595111768057</v>
      </c>
      <c r="AO30" s="467">
        <v>0.18480169736713609</v>
      </c>
      <c r="AP30" s="467">
        <v>9.1980608893918028E-2</v>
      </c>
      <c r="AQ30" s="467">
        <v>4.0248445684114405E-2</v>
      </c>
      <c r="AR30" s="467">
        <v>6.6194646918417144E-2</v>
      </c>
      <c r="AS30" s="467">
        <v>0.12021532312122017</v>
      </c>
      <c r="AT30" s="467">
        <v>5.2154967135292975E-2</v>
      </c>
      <c r="AU30" s="467">
        <v>1.3178805351752886E-2</v>
      </c>
      <c r="AV30" s="467">
        <v>1.4108453121111133E-2</v>
      </c>
      <c r="AW30" s="467">
        <v>2.1205986611954164E-2</v>
      </c>
      <c r="AX30" s="467">
        <v>7.1491504124769718E-3</v>
      </c>
      <c r="AY30" s="467">
        <v>3.4589279795612465E-2</v>
      </c>
      <c r="AZ30" s="467">
        <v>5.5365584468802055E-2</v>
      </c>
      <c r="BA30" s="467">
        <v>9.9766180708504015E-2</v>
      </c>
      <c r="BB30" s="467">
        <v>4.2243948847130071E-2</v>
      </c>
      <c r="BC30" s="464"/>
      <c r="BD30" s="467">
        <v>5.0264170771721614E-2</v>
      </c>
      <c r="BE30" s="467">
        <v>0.10740653561796541</v>
      </c>
      <c r="BF30" s="467">
        <v>0.17556161249877927</v>
      </c>
      <c r="BG30" s="467">
        <v>8.7381578449222119E-2</v>
      </c>
      <c r="BH30" s="467">
        <v>3.8236023399908683E-2</v>
      </c>
      <c r="BI30" s="467">
        <v>6.2884914572496287E-2</v>
      </c>
      <c r="BJ30" s="467">
        <v>0.11420455696515916</v>
      </c>
      <c r="BK30" s="467">
        <v>4.9547218778528322E-2</v>
      </c>
      <c r="BL30" s="467">
        <v>1.2519865084165241E-2</v>
      </c>
      <c r="BM30" s="467">
        <v>1.3403030465055575E-2</v>
      </c>
      <c r="BN30" s="467">
        <v>2.0145687281356454E-2</v>
      </c>
      <c r="BO30" s="467">
        <v>6.7916928918531228E-3</v>
      </c>
      <c r="BP30" s="467">
        <v>3.2859815805831839E-2</v>
      </c>
      <c r="BQ30" s="467">
        <v>5.259730524536195E-2</v>
      </c>
      <c r="BR30" s="467">
        <v>9.4777871673078815E-2</v>
      </c>
      <c r="BS30" s="467">
        <v>4.0131751404773562E-2</v>
      </c>
      <c r="BT30" s="458" t="s">
        <v>456</v>
      </c>
    </row>
    <row r="31" spans="2:72" ht="15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466" t="str">
        <f>"*H_"&amp;"*"&amp;RIGHT(AH31,LEN(AH31)-3)&amp;"_"&amp;SETUP!B64</f>
        <v>*H_*BIOSLU_X0</v>
      </c>
      <c r="AF31" s="466" t="str">
        <f>COMM!F22&amp;"_"&amp;SETUP!C64</f>
        <v>Non-Renewable Waste to Residential_Existing 00</v>
      </c>
      <c r="AG31" s="466" t="str">
        <f>RSD_Balance!A25</f>
        <v>BIOSLU</v>
      </c>
      <c r="AH31" s="466" t="s">
        <v>650</v>
      </c>
      <c r="AI31" s="466">
        <v>1</v>
      </c>
      <c r="AJ31" s="466"/>
      <c r="AK31" s="466"/>
      <c r="AL31" s="466"/>
      <c r="AM31" s="466">
        <v>5.2909653443917494E-2</v>
      </c>
      <c r="AN31" s="466">
        <v>0.1130595111768057</v>
      </c>
      <c r="AO31" s="466">
        <v>0.18480169736713609</v>
      </c>
      <c r="AP31" s="466">
        <v>9.1980608893918028E-2</v>
      </c>
      <c r="AQ31" s="466">
        <v>4.0248445684114405E-2</v>
      </c>
      <c r="AR31" s="466">
        <v>6.6194646918417144E-2</v>
      </c>
      <c r="AS31" s="466">
        <v>0.12021532312122017</v>
      </c>
      <c r="AT31" s="466">
        <v>5.2154967135292975E-2</v>
      </c>
      <c r="AU31" s="466">
        <v>1.3178805351752886E-2</v>
      </c>
      <c r="AV31" s="466">
        <v>1.4108453121111133E-2</v>
      </c>
      <c r="AW31" s="466">
        <v>2.1205986611954164E-2</v>
      </c>
      <c r="AX31" s="466">
        <v>7.1491504124769718E-3</v>
      </c>
      <c r="AY31" s="466">
        <v>3.4589279795612465E-2</v>
      </c>
      <c r="AZ31" s="466">
        <v>5.5365584468802055E-2</v>
      </c>
      <c r="BA31" s="466">
        <v>9.9766180708504015E-2</v>
      </c>
      <c r="BB31" s="466">
        <v>4.2243948847130071E-2</v>
      </c>
      <c r="BC31" s="464"/>
      <c r="BD31" s="466">
        <v>5.0264170771721614E-2</v>
      </c>
      <c r="BE31" s="466">
        <v>0.10740653561796541</v>
      </c>
      <c r="BF31" s="466">
        <v>0.17556161249877927</v>
      </c>
      <c r="BG31" s="466">
        <v>8.7381578449222119E-2</v>
      </c>
      <c r="BH31" s="466">
        <v>3.8236023399908683E-2</v>
      </c>
      <c r="BI31" s="466">
        <v>6.2884914572496287E-2</v>
      </c>
      <c r="BJ31" s="466">
        <v>0.11420455696515916</v>
      </c>
      <c r="BK31" s="466">
        <v>4.9547218778528322E-2</v>
      </c>
      <c r="BL31" s="466">
        <v>1.2519865084165241E-2</v>
      </c>
      <c r="BM31" s="466">
        <v>1.3403030465055575E-2</v>
      </c>
      <c r="BN31" s="466">
        <v>2.0145687281356454E-2</v>
      </c>
      <c r="BO31" s="466">
        <v>6.7916928918531228E-3</v>
      </c>
      <c r="BP31" s="466">
        <v>3.2859815805831839E-2</v>
      </c>
      <c r="BQ31" s="466">
        <v>5.259730524536195E-2</v>
      </c>
      <c r="BR31" s="466">
        <v>9.4777871673078815E-2</v>
      </c>
      <c r="BS31" s="466">
        <v>4.0131751404773562E-2</v>
      </c>
      <c r="BT31" s="458" t="s">
        <v>456</v>
      </c>
    </row>
    <row r="32" spans="2:72">
      <c r="B32" s="476" t="s">
        <v>738</v>
      </c>
      <c r="C32" s="476"/>
      <c r="D32" s="476"/>
      <c r="E32" s="476"/>
      <c r="F32" s="719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467" t="str">
        <f>"*H_"&amp;"*"&amp;"SMF"&amp;"_"&amp;SETUP!B64</f>
        <v>*H_*SMF_X0</v>
      </c>
      <c r="AF32" s="467" t="str">
        <f>COMM!F23&amp;"_"&amp;SETUP!C64</f>
        <v>Solid Multi-Fuel_Existing 00</v>
      </c>
      <c r="AG32" s="467" t="s">
        <v>548</v>
      </c>
      <c r="AH32" s="467" t="s">
        <v>632</v>
      </c>
      <c r="AI32" s="467">
        <v>0.09</v>
      </c>
      <c r="AJ32" s="467"/>
      <c r="AK32" s="467"/>
      <c r="AL32" s="467"/>
      <c r="AM32" s="467">
        <v>5.2909653443917494E-2</v>
      </c>
      <c r="AN32" s="467">
        <v>0.1130595111768057</v>
      </c>
      <c r="AO32" s="467">
        <v>0.18480169736713609</v>
      </c>
      <c r="AP32" s="467">
        <v>9.1980608893918028E-2</v>
      </c>
      <c r="AQ32" s="467">
        <v>4.0248445684114405E-2</v>
      </c>
      <c r="AR32" s="467">
        <v>6.6194646918417144E-2</v>
      </c>
      <c r="AS32" s="467">
        <v>0.12021532312122017</v>
      </c>
      <c r="AT32" s="467">
        <v>5.2154967135292975E-2</v>
      </c>
      <c r="AU32" s="467">
        <v>1.3178805351752886E-2</v>
      </c>
      <c r="AV32" s="467">
        <v>1.4108453121111133E-2</v>
      </c>
      <c r="AW32" s="467">
        <v>2.1205986611954164E-2</v>
      </c>
      <c r="AX32" s="467">
        <v>7.1491504124769718E-3</v>
      </c>
      <c r="AY32" s="467">
        <v>3.4589279795612465E-2</v>
      </c>
      <c r="AZ32" s="467">
        <v>5.5365584468802055E-2</v>
      </c>
      <c r="BA32" s="467">
        <v>9.9766180708504015E-2</v>
      </c>
      <c r="BB32" s="467">
        <v>4.2243948847130071E-2</v>
      </c>
      <c r="BC32" s="464"/>
      <c r="BD32" s="467">
        <v>5.0264170771721614E-2</v>
      </c>
      <c r="BE32" s="467">
        <v>0.10740653561796541</v>
      </c>
      <c r="BF32" s="467">
        <v>0.17556161249877927</v>
      </c>
      <c r="BG32" s="467">
        <v>8.7381578449222119E-2</v>
      </c>
      <c r="BH32" s="467">
        <v>3.8236023399908683E-2</v>
      </c>
      <c r="BI32" s="467">
        <v>6.2884914572496287E-2</v>
      </c>
      <c r="BJ32" s="467">
        <v>0.11420455696515916</v>
      </c>
      <c r="BK32" s="467">
        <v>4.9547218778528322E-2</v>
      </c>
      <c r="BL32" s="467">
        <v>1.2519865084165241E-2</v>
      </c>
      <c r="BM32" s="467">
        <v>1.3403030465055575E-2</v>
      </c>
      <c r="BN32" s="467">
        <v>2.0145687281356454E-2</v>
      </c>
      <c r="BO32" s="467">
        <v>6.7916928918531228E-3</v>
      </c>
      <c r="BP32" s="467">
        <v>3.2859815805831839E-2</v>
      </c>
      <c r="BQ32" s="467">
        <v>5.259730524536195E-2</v>
      </c>
      <c r="BR32" s="467">
        <v>9.4777871673078815E-2</v>
      </c>
      <c r="BS32" s="467">
        <v>4.0131751404773562E-2</v>
      </c>
      <c r="BT32" s="458" t="s">
        <v>456</v>
      </c>
    </row>
    <row r="33" spans="3:72">
      <c r="O33" s="548"/>
      <c r="P33" s="548"/>
      <c r="Q33" s="548"/>
      <c r="R33" s="548"/>
      <c r="S33" s="548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  <c r="AE33" s="466" t="str">
        <f>"*H_"&amp;"*"&amp;"SMF"&amp;"_"&amp;SETUP!B64</f>
        <v>*H_*SMF_X0</v>
      </c>
      <c r="AF33" s="466" t="str">
        <f>COMM!F23&amp;"_"&amp;SETUP!C64</f>
        <v>Solid Multi-Fuel_Existing 00</v>
      </c>
      <c r="AG33" s="466"/>
      <c r="AH33" s="466" t="s">
        <v>633</v>
      </c>
      <c r="AI33" s="466">
        <v>0.04</v>
      </c>
      <c r="AJ33" s="466"/>
      <c r="AK33" s="466"/>
      <c r="AL33" s="466"/>
      <c r="AM33" s="466">
        <v>5.2909653443917494E-2</v>
      </c>
      <c r="AN33" s="466">
        <v>0.1130595111768057</v>
      </c>
      <c r="AO33" s="466">
        <v>0.18480169736713609</v>
      </c>
      <c r="AP33" s="466">
        <v>9.1980608893918028E-2</v>
      </c>
      <c r="AQ33" s="466">
        <v>4.0248445684114405E-2</v>
      </c>
      <c r="AR33" s="466">
        <v>6.6194646918417144E-2</v>
      </c>
      <c r="AS33" s="466">
        <v>0.12021532312122017</v>
      </c>
      <c r="AT33" s="466">
        <v>5.2154967135292975E-2</v>
      </c>
      <c r="AU33" s="466">
        <v>1.3178805351752886E-2</v>
      </c>
      <c r="AV33" s="466">
        <v>1.4108453121111133E-2</v>
      </c>
      <c r="AW33" s="466">
        <v>2.1205986611954164E-2</v>
      </c>
      <c r="AX33" s="466">
        <v>7.1491504124769718E-3</v>
      </c>
      <c r="AY33" s="466">
        <v>3.4589279795612465E-2</v>
      </c>
      <c r="AZ33" s="466">
        <v>5.5365584468802055E-2</v>
      </c>
      <c r="BA33" s="466">
        <v>9.9766180708504015E-2</v>
      </c>
      <c r="BB33" s="466">
        <v>4.2243948847130071E-2</v>
      </c>
      <c r="BC33" s="464"/>
      <c r="BD33" s="466">
        <v>5.0264170771721614E-2</v>
      </c>
      <c r="BE33" s="466">
        <v>0.10740653561796541</v>
      </c>
      <c r="BF33" s="466">
        <v>0.17556161249877927</v>
      </c>
      <c r="BG33" s="466">
        <v>8.7381578449222119E-2</v>
      </c>
      <c r="BH33" s="466">
        <v>3.8236023399908683E-2</v>
      </c>
      <c r="BI33" s="466">
        <v>6.2884914572496287E-2</v>
      </c>
      <c r="BJ33" s="466">
        <v>0.11420455696515916</v>
      </c>
      <c r="BK33" s="466">
        <v>4.9547218778528322E-2</v>
      </c>
      <c r="BL33" s="466">
        <v>1.2519865084165241E-2</v>
      </c>
      <c r="BM33" s="466">
        <v>1.3403030465055575E-2</v>
      </c>
      <c r="BN33" s="466">
        <v>2.0145687281356454E-2</v>
      </c>
      <c r="BO33" s="466">
        <v>6.7916928918531228E-3</v>
      </c>
      <c r="BP33" s="466">
        <v>3.2859815805831839E-2</v>
      </c>
      <c r="BQ33" s="466">
        <v>5.259730524536195E-2</v>
      </c>
      <c r="BR33" s="466">
        <v>9.4777871673078815E-2</v>
      </c>
      <c r="BS33" s="466">
        <v>4.0131751404773562E-2</v>
      </c>
      <c r="BT33" s="458" t="s">
        <v>456</v>
      </c>
    </row>
    <row r="34" spans="3:72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467" t="str">
        <f>"*H_"&amp;"*"&amp;"SMF"&amp;"_"&amp;SETUP!B64</f>
        <v>*H_*SMF_X0</v>
      </c>
      <c r="AF34" s="467" t="str">
        <f>COMM!F23&amp;"_"&amp;SETUP!C64</f>
        <v>Solid Multi-Fuel_Existing 00</v>
      </c>
      <c r="AG34" s="467"/>
      <c r="AH34" s="467" t="s">
        <v>635</v>
      </c>
      <c r="AI34" s="467">
        <v>0.02</v>
      </c>
      <c r="AJ34" s="467"/>
      <c r="AK34" s="467"/>
      <c r="AL34" s="467"/>
      <c r="AM34" s="467">
        <v>5.2909653443917494E-2</v>
      </c>
      <c r="AN34" s="467">
        <v>0.1130595111768057</v>
      </c>
      <c r="AO34" s="467">
        <v>0.18480169736713609</v>
      </c>
      <c r="AP34" s="467">
        <v>9.1980608893918028E-2</v>
      </c>
      <c r="AQ34" s="467">
        <v>4.0248445684114405E-2</v>
      </c>
      <c r="AR34" s="467">
        <v>6.6194646918417144E-2</v>
      </c>
      <c r="AS34" s="467">
        <v>0.12021532312122017</v>
      </c>
      <c r="AT34" s="467">
        <v>5.2154967135292975E-2</v>
      </c>
      <c r="AU34" s="467">
        <v>1.3178805351752886E-2</v>
      </c>
      <c r="AV34" s="467">
        <v>1.4108453121111133E-2</v>
      </c>
      <c r="AW34" s="467">
        <v>2.1205986611954164E-2</v>
      </c>
      <c r="AX34" s="467">
        <v>7.1491504124769718E-3</v>
      </c>
      <c r="AY34" s="467">
        <v>3.4589279795612465E-2</v>
      </c>
      <c r="AZ34" s="467">
        <v>5.5365584468802055E-2</v>
      </c>
      <c r="BA34" s="467">
        <v>9.9766180708504015E-2</v>
      </c>
      <c r="BB34" s="467">
        <v>4.2243948847130071E-2</v>
      </c>
      <c r="BC34" s="464"/>
      <c r="BD34" s="467">
        <v>5.0264170771721614E-2</v>
      </c>
      <c r="BE34" s="467">
        <v>0.10740653561796541</v>
      </c>
      <c r="BF34" s="467">
        <v>0.17556161249877927</v>
      </c>
      <c r="BG34" s="467">
        <v>8.7381578449222119E-2</v>
      </c>
      <c r="BH34" s="467">
        <v>3.8236023399908683E-2</v>
      </c>
      <c r="BI34" s="467">
        <v>6.2884914572496287E-2</v>
      </c>
      <c r="BJ34" s="467">
        <v>0.11420455696515916</v>
      </c>
      <c r="BK34" s="467">
        <v>4.9547218778528322E-2</v>
      </c>
      <c r="BL34" s="467">
        <v>1.2519865084165241E-2</v>
      </c>
      <c r="BM34" s="467">
        <v>1.3403030465055575E-2</v>
      </c>
      <c r="BN34" s="467">
        <v>2.0145687281356454E-2</v>
      </c>
      <c r="BO34" s="467">
        <v>6.7916928918531228E-3</v>
      </c>
      <c r="BP34" s="467">
        <v>3.2859815805831839E-2</v>
      </c>
      <c r="BQ34" s="467">
        <v>5.259730524536195E-2</v>
      </c>
      <c r="BR34" s="467">
        <v>9.4777871673078815E-2</v>
      </c>
      <c r="BS34" s="467">
        <v>4.0131751404773562E-2</v>
      </c>
      <c r="BT34" s="458" t="s">
        <v>456</v>
      </c>
    </row>
    <row r="35" spans="3:72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466" t="str">
        <f>"*H_"&amp;"*"&amp;"SMF"&amp;"_"&amp;SETUP!B64</f>
        <v>*H_*SMF_X0</v>
      </c>
      <c r="AF35" s="466" t="str">
        <f>COMM!F23&amp;"_"&amp;SETUP!C64</f>
        <v>Solid Multi-Fuel_Existing 00</v>
      </c>
      <c r="AG35" s="466"/>
      <c r="AH35" s="466" t="s">
        <v>458</v>
      </c>
      <c r="AI35" s="466">
        <v>0.75</v>
      </c>
      <c r="AJ35" s="466"/>
      <c r="AK35" s="466"/>
      <c r="AL35" s="466"/>
      <c r="AM35" s="466">
        <v>5.2909653443917494E-2</v>
      </c>
      <c r="AN35" s="466">
        <v>0.1130595111768057</v>
      </c>
      <c r="AO35" s="466">
        <v>0.18480169736713609</v>
      </c>
      <c r="AP35" s="466">
        <v>9.1980608893918028E-2</v>
      </c>
      <c r="AQ35" s="466">
        <v>4.0248445684114405E-2</v>
      </c>
      <c r="AR35" s="466">
        <v>6.6194646918417144E-2</v>
      </c>
      <c r="AS35" s="466">
        <v>0.12021532312122017</v>
      </c>
      <c r="AT35" s="466">
        <v>5.2154967135292975E-2</v>
      </c>
      <c r="AU35" s="466">
        <v>1.3178805351752886E-2</v>
      </c>
      <c r="AV35" s="466">
        <v>1.4108453121111133E-2</v>
      </c>
      <c r="AW35" s="466">
        <v>2.1205986611954164E-2</v>
      </c>
      <c r="AX35" s="466">
        <v>7.1491504124769718E-3</v>
      </c>
      <c r="AY35" s="466">
        <v>3.4589279795612465E-2</v>
      </c>
      <c r="AZ35" s="466">
        <v>5.5365584468802055E-2</v>
      </c>
      <c r="BA35" s="466">
        <v>9.9766180708504015E-2</v>
      </c>
      <c r="BB35" s="466">
        <v>4.2243948847130071E-2</v>
      </c>
      <c r="BC35" s="464"/>
      <c r="BD35" s="466">
        <v>5.0264170771721614E-2</v>
      </c>
      <c r="BE35" s="466">
        <v>0.10740653561796541</v>
      </c>
      <c r="BF35" s="466">
        <v>0.17556161249877927</v>
      </c>
      <c r="BG35" s="466">
        <v>8.7381578449222119E-2</v>
      </c>
      <c r="BH35" s="466">
        <v>3.8236023399908683E-2</v>
      </c>
      <c r="BI35" s="466">
        <v>6.2884914572496287E-2</v>
      </c>
      <c r="BJ35" s="466">
        <v>0.11420455696515916</v>
      </c>
      <c r="BK35" s="466">
        <v>4.9547218778528322E-2</v>
      </c>
      <c r="BL35" s="466">
        <v>1.2519865084165241E-2</v>
      </c>
      <c r="BM35" s="466">
        <v>1.3403030465055575E-2</v>
      </c>
      <c r="BN35" s="466">
        <v>2.0145687281356454E-2</v>
      </c>
      <c r="BO35" s="466">
        <v>6.7916928918531228E-3</v>
      </c>
      <c r="BP35" s="466">
        <v>3.2859815805831839E-2</v>
      </c>
      <c r="BQ35" s="466">
        <v>5.259730524536195E-2</v>
      </c>
      <c r="BR35" s="466">
        <v>9.4777871673078815E-2</v>
      </c>
      <c r="BS35" s="466">
        <v>4.0131751404773562E-2</v>
      </c>
      <c r="BT35" s="458" t="s">
        <v>456</v>
      </c>
    </row>
    <row r="36" spans="3:7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467" t="str">
        <f>"*H_"&amp;"*"&amp;"SMF"&amp;"_"&amp;SETUP!B64</f>
        <v>*H_*SMF_X0</v>
      </c>
      <c r="AF36" s="467" t="str">
        <f>COMM!F23&amp;"_"&amp;SETUP!C64</f>
        <v>Solid Multi-Fuel_Existing 00</v>
      </c>
      <c r="AG36" s="467"/>
      <c r="AH36" s="467" t="s">
        <v>644</v>
      </c>
      <c r="AI36" s="467">
        <v>0.1</v>
      </c>
      <c r="AJ36" s="467"/>
      <c r="AK36" s="467"/>
      <c r="AL36" s="467"/>
      <c r="AM36" s="467">
        <v>5.2909653443917494E-2</v>
      </c>
      <c r="AN36" s="467">
        <v>0.1130595111768057</v>
      </c>
      <c r="AO36" s="467">
        <v>0.18480169736713609</v>
      </c>
      <c r="AP36" s="467">
        <v>9.1980608893918028E-2</v>
      </c>
      <c r="AQ36" s="467">
        <v>4.0248445684114405E-2</v>
      </c>
      <c r="AR36" s="467">
        <v>6.6194646918417144E-2</v>
      </c>
      <c r="AS36" s="467">
        <v>0.12021532312122017</v>
      </c>
      <c r="AT36" s="467">
        <v>5.2154967135292975E-2</v>
      </c>
      <c r="AU36" s="467">
        <v>1.3178805351752886E-2</v>
      </c>
      <c r="AV36" s="467">
        <v>1.4108453121111133E-2</v>
      </c>
      <c r="AW36" s="467">
        <v>2.1205986611954164E-2</v>
      </c>
      <c r="AX36" s="467">
        <v>7.1491504124769718E-3</v>
      </c>
      <c r="AY36" s="467">
        <v>3.4589279795612465E-2</v>
      </c>
      <c r="AZ36" s="467">
        <v>5.5365584468802055E-2</v>
      </c>
      <c r="BA36" s="467">
        <v>9.9766180708504015E-2</v>
      </c>
      <c r="BB36" s="467">
        <v>4.2243948847130071E-2</v>
      </c>
      <c r="BC36" s="464"/>
      <c r="BD36" s="467">
        <v>5.0264170771721614E-2</v>
      </c>
      <c r="BE36" s="467">
        <v>0.10740653561796541</v>
      </c>
      <c r="BF36" s="467">
        <v>0.17556161249877927</v>
      </c>
      <c r="BG36" s="467">
        <v>8.7381578449222119E-2</v>
      </c>
      <c r="BH36" s="467">
        <v>3.8236023399908683E-2</v>
      </c>
      <c r="BI36" s="467">
        <v>6.2884914572496287E-2</v>
      </c>
      <c r="BJ36" s="467">
        <v>0.11420455696515916</v>
      </c>
      <c r="BK36" s="467">
        <v>4.9547218778528322E-2</v>
      </c>
      <c r="BL36" s="467">
        <v>1.2519865084165241E-2</v>
      </c>
      <c r="BM36" s="467">
        <v>1.3403030465055575E-2</v>
      </c>
      <c r="BN36" s="467">
        <v>2.0145687281356454E-2</v>
      </c>
      <c r="BO36" s="467">
        <v>6.7916928918531228E-3</v>
      </c>
      <c r="BP36" s="467">
        <v>3.2859815805831839E-2</v>
      </c>
      <c r="BQ36" s="467">
        <v>5.259730524536195E-2</v>
      </c>
      <c r="BR36" s="467">
        <v>9.4777871673078815E-2</v>
      </c>
      <c r="BS36" s="467">
        <v>4.0131751404773562E-2</v>
      </c>
      <c r="BT36" s="458" t="s">
        <v>456</v>
      </c>
    </row>
    <row r="37" spans="3:72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466" t="str">
        <f>"*H_"&amp;"*"&amp;RIGHT(AH37,LEN(AH37)-3)&amp;"_"&amp;SETUP!B64</f>
        <v>*H_*ELC_X0</v>
      </c>
      <c r="AF37" s="466" t="str">
        <f>COMM!F24&amp;"_"&amp;SETUP!C64</f>
        <v>Electricity to Residential_Existing 00</v>
      </c>
      <c r="AG37" s="466" t="str">
        <f>RSD_Balance!A26</f>
        <v>ELC</v>
      </c>
      <c r="AH37" s="466" t="s">
        <v>457</v>
      </c>
      <c r="AI37" s="466">
        <v>1</v>
      </c>
      <c r="AJ37" s="466"/>
      <c r="AK37" s="466"/>
      <c r="AL37" s="466"/>
      <c r="AM37" s="466">
        <v>5.2909653443917494E-2</v>
      </c>
      <c r="AN37" s="466">
        <v>0.1130595111768057</v>
      </c>
      <c r="AO37" s="466">
        <v>0.18480169736713609</v>
      </c>
      <c r="AP37" s="466">
        <v>9.1980608893918028E-2</v>
      </c>
      <c r="AQ37" s="466">
        <v>4.0248445684114405E-2</v>
      </c>
      <c r="AR37" s="466">
        <v>6.6194646918417144E-2</v>
      </c>
      <c r="AS37" s="466">
        <v>0.12021532312122017</v>
      </c>
      <c r="AT37" s="466">
        <v>5.2154967135292975E-2</v>
      </c>
      <c r="AU37" s="466">
        <v>1.3178805351752886E-2</v>
      </c>
      <c r="AV37" s="466">
        <v>1.4108453121111133E-2</v>
      </c>
      <c r="AW37" s="466">
        <v>2.1205986611954164E-2</v>
      </c>
      <c r="AX37" s="466">
        <v>7.1491504124769718E-3</v>
      </c>
      <c r="AY37" s="466">
        <v>3.4589279795612465E-2</v>
      </c>
      <c r="AZ37" s="466">
        <v>5.5365584468802055E-2</v>
      </c>
      <c r="BA37" s="466">
        <v>9.9766180708504015E-2</v>
      </c>
      <c r="BB37" s="466">
        <v>4.2243948847130071E-2</v>
      </c>
      <c r="BC37" s="464"/>
      <c r="BD37" s="466">
        <v>5.0264170771721614E-2</v>
      </c>
      <c r="BE37" s="466">
        <v>0.10740653561796541</v>
      </c>
      <c r="BF37" s="466">
        <v>0.17556161249877927</v>
      </c>
      <c r="BG37" s="466">
        <v>8.7381578449222119E-2</v>
      </c>
      <c r="BH37" s="466">
        <v>3.8236023399908683E-2</v>
      </c>
      <c r="BI37" s="466">
        <v>6.2884914572496287E-2</v>
      </c>
      <c r="BJ37" s="466">
        <v>0.11420455696515916</v>
      </c>
      <c r="BK37" s="466">
        <v>4.9547218778528322E-2</v>
      </c>
      <c r="BL37" s="466">
        <v>1.2519865084165241E-2</v>
      </c>
      <c r="BM37" s="466">
        <v>1.3403030465055575E-2</v>
      </c>
      <c r="BN37" s="466">
        <v>2.0145687281356454E-2</v>
      </c>
      <c r="BO37" s="466">
        <v>6.7916928918531228E-3</v>
      </c>
      <c r="BP37" s="466">
        <v>3.2859815805831839E-2</v>
      </c>
      <c r="BQ37" s="466">
        <v>5.259730524536195E-2</v>
      </c>
      <c r="BR37" s="466">
        <v>9.4777871673078815E-2</v>
      </c>
      <c r="BS37" s="466">
        <v>4.0131751404773562E-2</v>
      </c>
      <c r="BT37" s="458" t="s">
        <v>456</v>
      </c>
    </row>
    <row r="38" spans="3:72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467" t="str">
        <f>"*H_"&amp;"*"&amp;RIGHT(AH38,LEN(AH38)-3)&amp;"_"&amp;SETUP!B64</f>
        <v>*H_*HET_X0</v>
      </c>
      <c r="AF38" s="467" t="str">
        <f>COMM!F25&amp;"_"&amp;SETUP!C64</f>
        <v>Heat to Residential_Existing 00</v>
      </c>
      <c r="AG38" s="467" t="str">
        <f>RSD_Balance!A27</f>
        <v>HET</v>
      </c>
      <c r="AH38" s="467" t="s">
        <v>454</v>
      </c>
      <c r="AI38" s="467">
        <v>1</v>
      </c>
      <c r="AJ38" s="467"/>
      <c r="AK38" s="467"/>
      <c r="AL38" s="467"/>
      <c r="AM38" s="467">
        <v>5.2909653443917494E-2</v>
      </c>
      <c r="AN38" s="467">
        <v>0.1130595111768057</v>
      </c>
      <c r="AO38" s="467">
        <v>0.18480169736713609</v>
      </c>
      <c r="AP38" s="467">
        <v>9.1980608893918028E-2</v>
      </c>
      <c r="AQ38" s="467">
        <v>4.0248445684114405E-2</v>
      </c>
      <c r="AR38" s="467">
        <v>6.6194646918417144E-2</v>
      </c>
      <c r="AS38" s="467">
        <v>0.12021532312122017</v>
      </c>
      <c r="AT38" s="467">
        <v>5.2154967135292975E-2</v>
      </c>
      <c r="AU38" s="467">
        <v>1.3178805351752886E-2</v>
      </c>
      <c r="AV38" s="467">
        <v>1.4108453121111133E-2</v>
      </c>
      <c r="AW38" s="467">
        <v>2.1205986611954164E-2</v>
      </c>
      <c r="AX38" s="467">
        <v>7.1491504124769718E-3</v>
      </c>
      <c r="AY38" s="467">
        <v>3.4589279795612465E-2</v>
      </c>
      <c r="AZ38" s="467">
        <v>5.5365584468802055E-2</v>
      </c>
      <c r="BA38" s="467">
        <v>9.9766180708504015E-2</v>
      </c>
      <c r="BB38" s="467">
        <v>4.2243948847130071E-2</v>
      </c>
      <c r="BC38" s="465"/>
      <c r="BD38" s="467">
        <v>5.0264170771721614E-2</v>
      </c>
      <c r="BE38" s="467">
        <v>0.10740653561796541</v>
      </c>
      <c r="BF38" s="467">
        <v>0.17556161249877927</v>
      </c>
      <c r="BG38" s="467">
        <v>8.7381578449222119E-2</v>
      </c>
      <c r="BH38" s="467">
        <v>3.8236023399908683E-2</v>
      </c>
      <c r="BI38" s="467">
        <v>6.2884914572496287E-2</v>
      </c>
      <c r="BJ38" s="467">
        <v>0.11420455696515916</v>
      </c>
      <c r="BK38" s="467">
        <v>4.9547218778528322E-2</v>
      </c>
      <c r="BL38" s="467">
        <v>1.2519865084165241E-2</v>
      </c>
      <c r="BM38" s="467">
        <v>1.3403030465055575E-2</v>
      </c>
      <c r="BN38" s="467">
        <v>2.0145687281356454E-2</v>
      </c>
      <c r="BO38" s="467">
        <v>6.7916928918531228E-3</v>
      </c>
      <c r="BP38" s="467">
        <v>3.2859815805831839E-2</v>
      </c>
      <c r="BQ38" s="467">
        <v>5.259730524536195E-2</v>
      </c>
      <c r="BR38" s="467">
        <v>9.4777871673078815E-2</v>
      </c>
      <c r="BS38" s="467">
        <v>4.0131751404773562E-2</v>
      </c>
      <c r="BT38" s="458" t="s">
        <v>456</v>
      </c>
    </row>
    <row r="39" spans="3:72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</row>
    <row r="40" spans="3:72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</row>
    <row r="41" spans="3:72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694</v>
      </c>
      <c r="AD41" s="450" t="s">
        <v>695</v>
      </c>
      <c r="AE41" s="450" t="s">
        <v>696</v>
      </c>
      <c r="AF41" s="450" t="s">
        <v>697</v>
      </c>
      <c r="AG41" s="451" t="s">
        <v>698</v>
      </c>
    </row>
    <row r="42" spans="3:72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699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2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700</v>
      </c>
      <c r="AD43" s="453" t="s">
        <v>701</v>
      </c>
      <c r="AE43" s="453">
        <v>1700</v>
      </c>
      <c r="AF43" s="453">
        <v>2000</v>
      </c>
      <c r="AG43" s="454">
        <v>3</v>
      </c>
    </row>
    <row r="44" spans="3:7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702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2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703</v>
      </c>
      <c r="AD45" s="456" t="s">
        <v>704</v>
      </c>
      <c r="AE45" s="456">
        <v>0</v>
      </c>
      <c r="AF45" s="456">
        <v>700</v>
      </c>
      <c r="AG45" s="457">
        <v>7</v>
      </c>
    </row>
    <row r="46" spans="3:72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2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2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741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G24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zoomScaleNormal="100" workbookViewId="0">
      <selection activeCell="N4" sqref="N4"/>
    </sheetView>
    <sheetView workbookViewId="1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937</v>
      </c>
      <c r="G2" s="684"/>
      <c r="H2" s="684"/>
      <c r="I2" s="684"/>
      <c r="J2" s="684"/>
      <c r="K2" s="684"/>
      <c r="L2" s="684"/>
      <c r="M2" s="684"/>
      <c r="N2" s="684"/>
      <c r="O2" s="47"/>
      <c r="P2" s="34" t="s">
        <v>936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933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1014</v>
      </c>
      <c r="P3" s="36" t="s">
        <v>266</v>
      </c>
      <c r="Q3" s="36" t="s">
        <v>933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946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1015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26" t="str">
        <f>_xlfn.TEXTJOIN(",",TRUE,IF(LEFT(Regions!$C$3,1)&lt;&gt;"*",Regions!$C$3,""),IF(LEFT(Regions!$D$3,1)&lt;&gt;"*",Regions!$D$3,""))</f>
        <v>IE,National</v>
      </c>
      <c r="C5" s="1024" t="str">
        <f>R5</f>
        <v>R-RSDRF_X0</v>
      </c>
      <c r="D5" s="1024" t="str">
        <f>S5</f>
        <v>Residential Refrigeration Demand Technology</v>
      </c>
      <c r="E5" s="1024" t="str">
        <f>COMM!$E$24</f>
        <v>RSDELC</v>
      </c>
      <c r="F5" s="1024" t="str">
        <f>COMM!E32</f>
        <v>RSDRF</v>
      </c>
      <c r="G5" s="1025">
        <f>DwellingStocks!$L$38/1000*RSD_Balance!U38</f>
        <v>1697.5803349999996</v>
      </c>
      <c r="H5" s="1024">
        <v>0.8</v>
      </c>
      <c r="I5" s="1027">
        <f>L5/G5/K5</f>
        <v>0.11719939117199392</v>
      </c>
      <c r="J5" s="1028">
        <v>10</v>
      </c>
      <c r="K5" s="509">
        <f>31.536*(N5/1000)</f>
        <v>5.6764799999999994E-3</v>
      </c>
      <c r="L5" s="1025">
        <f t="shared" ref="L5:L13" si="0">M5*H5</f>
        <v>1.1293662452687998</v>
      </c>
      <c r="M5" s="1029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30" t="str">
        <f>_xlfn.TEXTJOIN(",",TRUE,IF(LEFT(Regions!$C$3,1)&lt;&gt;"*",Regions!$C$3,""),IF(LEFT(Regions!$D$3,1)&lt;&gt;"*",Regions!$D$3,""))</f>
        <v>IE,National</v>
      </c>
      <c r="C6" s="1031" t="str">
        <f>R6</f>
        <v>R-RSDCK_ELC_X0</v>
      </c>
      <c r="D6" s="1032" t="str">
        <f>S6</f>
        <v>Residential Cooking Demand Electrical Technology</v>
      </c>
      <c r="E6" s="1032" t="str">
        <f>COMM!E24</f>
        <v>RSDELC</v>
      </c>
      <c r="F6" s="1031" t="str">
        <f>COMM!$E$33</f>
        <v>RSDCK</v>
      </c>
      <c r="G6" s="1033">
        <f>DwellingStocks!$L$38/1000*R20</f>
        <v>1288.2597646247998</v>
      </c>
      <c r="H6" s="1032">
        <v>0.74</v>
      </c>
      <c r="I6" s="1034">
        <f>(SUM(L6))/G6/K6</f>
        <v>1.2457230310998246E-2</v>
      </c>
      <c r="J6" s="1032">
        <v>15</v>
      </c>
      <c r="K6" s="1031">
        <f t="shared" ref="K6:K13" si="1">31.536*(N6/1000)</f>
        <v>9.4608000000000012E-2</v>
      </c>
      <c r="L6" s="1031">
        <f>M6*H6</f>
        <v>1.5182832416441119</v>
      </c>
      <c r="M6" s="1035">
        <f>RSD_Balance!R26</f>
        <v>2.051734110329881</v>
      </c>
      <c r="N6" s="1022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1017" t="s">
        <v>16</v>
      </c>
      <c r="U6" s="513" t="s">
        <v>280</v>
      </c>
      <c r="V6" s="1017"/>
      <c r="W6" s="513"/>
    </row>
    <row r="7" spans="2:23" ht="15">
      <c r="B7" s="1026" t="str">
        <f>_xlfn.TEXTJOIN(",",TRUE,IF(LEFT(Regions!$C$3,1)&lt;&gt;"*",Regions!$C$3,""),IF(LEFT(Regions!$D$3,1)&lt;&gt;"*",Regions!$D$3,""))</f>
        <v>IE,National</v>
      </c>
      <c r="C7" s="1024" t="str">
        <f t="shared" ref="C7:C8" si="2">R7</f>
        <v>R-RSDCK_GAS_X0</v>
      </c>
      <c r="D7" s="1024" t="str">
        <f t="shared" ref="D7:D8" si="3">S7</f>
        <v>Residential Cooking Demand Gas Technology</v>
      </c>
      <c r="E7" s="1024" t="str">
        <f>COMM!E14</f>
        <v>RSDGAS</v>
      </c>
      <c r="F7" s="1024" t="str">
        <f>COMM!$E$33</f>
        <v>RSDCK</v>
      </c>
      <c r="G7" s="1025">
        <f>DwellingStocks!$L$38/1000*R21</f>
        <v>386.53394953849494</v>
      </c>
      <c r="H7" s="1024">
        <v>0.68</v>
      </c>
      <c r="I7" s="1027">
        <f>(SUM(L7))/G7/K7</f>
        <v>1.0677641927395889E-2</v>
      </c>
      <c r="J7" s="1028">
        <v>15</v>
      </c>
      <c r="K7" s="1037">
        <f t="shared" si="1"/>
        <v>0.110376</v>
      </c>
      <c r="L7" s="1025">
        <f>M7*H7</f>
        <v>0.45555167559079646</v>
      </c>
      <c r="M7" s="1029">
        <f>RSD_Balance!R17</f>
        <v>0.66992893469234771</v>
      </c>
      <c r="N7" s="1023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30" t="str">
        <f>_xlfn.TEXTJOIN(",",TRUE,IF(LEFT(Regions!$C$3,1)&lt;&gt;"*",Regions!$C$3,""),IF(LEFT(Regions!$D$3,1)&lt;&gt;"*",Regions!$D$3,""))</f>
        <v>IE,National</v>
      </c>
      <c r="C8" s="1031" t="str">
        <f t="shared" si="2"/>
        <v>R-RSDCK_LPG_X0</v>
      </c>
      <c r="D8" s="1032" t="str">
        <f t="shared" si="3"/>
        <v>Residential Cooking Demand LPG Technology</v>
      </c>
      <c r="E8" s="1032" t="str">
        <f>COMM!E8</f>
        <v>RSDLPG</v>
      </c>
      <c r="F8" s="1031" t="str">
        <f>COMM!$E$33</f>
        <v>RSDCK</v>
      </c>
      <c r="G8" s="1033">
        <f>DwellingStocks!$L$38/1000*R22</f>
        <v>22.786262647254308</v>
      </c>
      <c r="H8" s="1032">
        <v>0.68</v>
      </c>
      <c r="I8" s="1034">
        <f t="shared" ref="I8" si="4">(SUM(L8))/G8/K8</f>
        <v>1.0677627336793453E-2</v>
      </c>
      <c r="J8" s="1032">
        <v>15</v>
      </c>
      <c r="K8" s="1031">
        <f t="shared" si="1"/>
        <v>0.110376</v>
      </c>
      <c r="L8" s="1031">
        <f>M8*H8</f>
        <v>2.6854836315100172E-2</v>
      </c>
      <c r="M8" s="1035">
        <f>RSD_Balance!R11</f>
        <v>3.9492406345735545E-2</v>
      </c>
      <c r="N8" s="1022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1017" t="s">
        <v>16</v>
      </c>
      <c r="U8" s="513" t="s">
        <v>280</v>
      </c>
      <c r="V8" s="1017"/>
      <c r="W8" s="513"/>
    </row>
    <row r="9" spans="2:23" s="290" customFormat="1" ht="15">
      <c r="B9" s="1026" t="str">
        <f>_xlfn.TEXTJOIN(",",TRUE,IF(LEFT(Regions!$C$3,1)&lt;&gt;"*",Regions!$C$3,""),IF(LEFT(Regions!$D$3,1)&lt;&gt;"*",Regions!$D$3,""))</f>
        <v>IE,National</v>
      </c>
      <c r="C9" s="1024" t="str">
        <f t="shared" ref="C9:D13" si="5">R9</f>
        <v>R-RSDCW_X0</v>
      </c>
      <c r="D9" s="1024" t="str">
        <f t="shared" si="5"/>
        <v>Residential Cloth Washing Demand Technology</v>
      </c>
      <c r="E9" s="1024" t="str">
        <f>COMM!$E$24</f>
        <v>RSDELC</v>
      </c>
      <c r="F9" s="1024" t="str">
        <f>COMM!E34</f>
        <v>RSDCW</v>
      </c>
      <c r="G9" s="1025">
        <f>DwellingStocks!$L$38/1000*RSD_Balance!U36</f>
        <v>1655.1408266249996</v>
      </c>
      <c r="H9" s="1024">
        <v>0.7</v>
      </c>
      <c r="I9" s="1027">
        <f>L9/G9/K9</f>
        <v>6.7195931921959322E-3</v>
      </c>
      <c r="J9" s="1028">
        <v>10</v>
      </c>
      <c r="K9" s="1037">
        <f t="shared" si="1"/>
        <v>6.9379200000000002E-2</v>
      </c>
      <c r="L9" s="1025">
        <f t="shared" si="0"/>
        <v>0.77162665337257486</v>
      </c>
      <c r="M9" s="1029">
        <f>RSD_Balance!T29</f>
        <v>1.1023237905322498</v>
      </c>
      <c r="N9" s="1023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30" t="str">
        <f>_xlfn.TEXTJOIN(",",TRUE,IF(LEFT(Regions!$C$3,1)&lt;&gt;"*",Regions!$C$3,""),IF(LEFT(Regions!$D$3,1)&lt;&gt;"*",Regions!$D$3,""))</f>
        <v>IE,National</v>
      </c>
      <c r="C10" s="1031" t="str">
        <f t="shared" si="5"/>
        <v>R-RSDCD_X0</v>
      </c>
      <c r="D10" s="1032" t="str">
        <f t="shared" si="5"/>
        <v>Residential Cloth Drying Demand Technology</v>
      </c>
      <c r="E10" s="1032" t="str">
        <f>COMM!$E$24</f>
        <v>RSDELC</v>
      </c>
      <c r="F10" s="1031" t="str">
        <f>COMM!E35</f>
        <v>RSDCD</v>
      </c>
      <c r="G10" s="1033">
        <f>DwellingStocks!$L$38/1000*RSD_Balance!U37</f>
        <v>1100.0320570799997</v>
      </c>
      <c r="H10" s="1031">
        <v>0.6</v>
      </c>
      <c r="I10" s="1034">
        <f>L10/G10/K10</f>
        <v>1.1863013698630138E-2</v>
      </c>
      <c r="J10" s="1032">
        <v>10</v>
      </c>
      <c r="K10" s="1031">
        <f t="shared" si="1"/>
        <v>7.8840000000000007E-2</v>
      </c>
      <c r="L10" s="1031">
        <f t="shared" si="0"/>
        <v>1.0288379823457823</v>
      </c>
      <c r="M10" s="1035">
        <f>RSD_Balance!U26</f>
        <v>1.7147299705763039</v>
      </c>
      <c r="N10" s="1022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1017" t="s">
        <v>16</v>
      </c>
      <c r="U10" s="513" t="s">
        <v>280</v>
      </c>
      <c r="V10" s="1017"/>
      <c r="W10" s="513"/>
    </row>
    <row r="11" spans="2:23" ht="15">
      <c r="B11" s="1026" t="str">
        <f>_xlfn.TEXTJOIN(",",TRUE,IF(LEFT(Regions!$C$3,1)&lt;&gt;"*",Regions!$C$3,""),IF(LEFT(Regions!$D$3,1)&lt;&gt;"*",Regions!$D$3,""))</f>
        <v>IE,National</v>
      </c>
      <c r="C11" s="1024" t="str">
        <f t="shared" si="5"/>
        <v>R-RSDDW_X0</v>
      </c>
      <c r="D11" s="1024" t="str">
        <f t="shared" si="5"/>
        <v>Residential Dish Washing Demand Technology</v>
      </c>
      <c r="E11" s="1024" t="str">
        <f>COMM!$E$24</f>
        <v>RSDELC</v>
      </c>
      <c r="F11" s="1024" t="str">
        <f>COMM!E36</f>
        <v>RSDDW</v>
      </c>
      <c r="G11" s="1025">
        <f>DwellingStocks!$L$38/1000*RSD_Balance!U40</f>
        <v>1098.3344767449998</v>
      </c>
      <c r="H11" s="1024">
        <v>0.7</v>
      </c>
      <c r="I11" s="1027">
        <f>L11/G11/K11</f>
        <v>1.0896637608966375E-2</v>
      </c>
      <c r="J11" s="1028">
        <v>10</v>
      </c>
      <c r="K11" s="1037">
        <f t="shared" si="1"/>
        <v>6.9379200000000002E-2</v>
      </c>
      <c r="L11" s="1025">
        <f t="shared" si="0"/>
        <v>0.83034086441921984</v>
      </c>
      <c r="M11" s="1029">
        <f>RSD_Balance!V29</f>
        <v>1.1862012348845998</v>
      </c>
      <c r="N11" s="1023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30" t="str">
        <f>_xlfn.TEXTJOIN(",",TRUE,IF(LEFT(Regions!$C$3,1)&lt;&gt;"*",Regions!$C$3,""),IF(LEFT(Regions!$D$3,1)&lt;&gt;"*",Regions!$D$3,""))</f>
        <v>IE,National</v>
      </c>
      <c r="C12" s="1031" t="str">
        <f t="shared" si="5"/>
        <v>R-RSDOE_X0</v>
      </c>
      <c r="D12" s="1032" t="str">
        <f t="shared" si="5"/>
        <v>Residential ELC Appliances Demand Technology</v>
      </c>
      <c r="E12" s="1032" t="str">
        <f>COMM!$E$24</f>
        <v>RSDELC</v>
      </c>
      <c r="F12" s="1031" t="str">
        <f>COMM!E37</f>
        <v>RSDOE</v>
      </c>
      <c r="G12" s="1033">
        <f>DwellingStocks!$L$38/1000*1</f>
        <v>1697.5803349999996</v>
      </c>
      <c r="H12" s="1031">
        <v>0.85</v>
      </c>
      <c r="I12" s="1034">
        <f>L12/G12/K12</f>
        <v>0.95648178299052611</v>
      </c>
      <c r="J12" s="1032">
        <v>10</v>
      </c>
      <c r="K12" s="1031">
        <f t="shared" si="1"/>
        <v>5.6764799999999994E-3</v>
      </c>
      <c r="L12" s="1031">
        <f t="shared" si="0"/>
        <v>9.2169270601309012</v>
      </c>
      <c r="M12" s="1035">
        <f>RSD_Balance!W26</f>
        <v>10.843443600154002</v>
      </c>
      <c r="N12" s="1022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1017" t="s">
        <v>16</v>
      </c>
      <c r="U12" s="513" t="s">
        <v>280</v>
      </c>
      <c r="V12" s="1017"/>
      <c r="W12" s="513"/>
    </row>
    <row r="13" spans="2:23" ht="15">
      <c r="B13" s="1026" t="str">
        <f>_xlfn.TEXTJOIN(",",TRUE,IF(LEFT(Regions!$C$3,1)&lt;&gt;"*",Regions!$C$3,""),IF(LEFT(Regions!$D$3,1)&lt;&gt;"*",Regions!$D$3,""))</f>
        <v>IE,National</v>
      </c>
      <c r="C13" s="1024" t="str">
        <f t="shared" si="5"/>
        <v>R-RSDOA_X0</v>
      </c>
      <c r="D13" s="1024" t="str">
        <f t="shared" si="5"/>
        <v>Residential Other Applications Demand Technology</v>
      </c>
      <c r="E13" s="1024" t="str">
        <f>COMM!$E$24</f>
        <v>RSDELC</v>
      </c>
      <c r="F13" s="1024" t="str">
        <f>COMM!E38</f>
        <v>RSDOA</v>
      </c>
      <c r="G13" s="1025">
        <f>DwellingStocks!$L$38/1000*1</f>
        <v>1697.5803349999996</v>
      </c>
      <c r="H13" s="1024">
        <v>0.85</v>
      </c>
      <c r="I13" s="1027">
        <f>L13/G13/K13</f>
        <v>0</v>
      </c>
      <c r="J13" s="1028">
        <v>10</v>
      </c>
      <c r="K13" s="1037">
        <f t="shared" si="1"/>
        <v>5.6764799999999994E-3</v>
      </c>
      <c r="L13" s="1025">
        <f t="shared" si="0"/>
        <v>0</v>
      </c>
      <c r="M13" s="1029">
        <v>0</v>
      </c>
      <c r="N13" s="1023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36"/>
      <c r="Q14" s="1036"/>
      <c r="R14" s="1036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081" t="s">
        <v>767</v>
      </c>
      <c r="C17" s="1081"/>
      <c r="D17" s="1081"/>
      <c r="E17" s="1081"/>
      <c r="F17" s="1081"/>
      <c r="G17" s="1081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937</v>
      </c>
      <c r="F19" s="67"/>
      <c r="G19" s="67"/>
      <c r="L19" s="548"/>
      <c r="M19" s="548"/>
      <c r="O19" s="474"/>
      <c r="P19" s="474"/>
      <c r="Q19" s="474"/>
      <c r="R19" t="s">
        <v>1007</v>
      </c>
    </row>
    <row r="20" spans="2:18" ht="15">
      <c r="B20" s="320" t="s">
        <v>933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712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713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712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G1" zoomScale="80" zoomScaleNormal="80" workbookViewId="0">
      <selection activeCell="U37" sqref="U37"/>
    </sheetView>
    <sheetView workbookViewId="1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090" t="s">
        <v>796</v>
      </c>
      <c r="R26" s="1090"/>
      <c r="S26" s="1090"/>
      <c r="T26" s="1090" t="s">
        <v>797</v>
      </c>
      <c r="U26" s="1090"/>
      <c r="V26" s="1090"/>
    </row>
    <row r="27" spans="1:22" ht="21.75" thickBot="1">
      <c r="A27" s="33"/>
      <c r="B27" s="33"/>
      <c r="C27" s="33"/>
      <c r="D27" s="33"/>
      <c r="E27" s="33"/>
      <c r="F27" s="33"/>
      <c r="H27" s="1090" t="s">
        <v>622</v>
      </c>
      <c r="I27" s="1090"/>
      <c r="J27" s="1090"/>
      <c r="K27" s="1090"/>
      <c r="L27" s="1090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87" t="s">
        <v>293</v>
      </c>
      <c r="C58" s="1088"/>
      <c r="D58" s="1088"/>
      <c r="E58" s="1088"/>
      <c r="F58" s="1088"/>
      <c r="G58" s="1088"/>
      <c r="H58" s="1088"/>
      <c r="I58" s="1088"/>
      <c r="J58" s="1088"/>
      <c r="K58" s="1088"/>
      <c r="L58" s="1089"/>
      <c r="M58" s="1084" t="s">
        <v>294</v>
      </c>
      <c r="N58" s="1085"/>
      <c r="O58" s="1086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91" t="s">
        <v>359</v>
      </c>
      <c r="T92" s="1092"/>
      <c r="U92" s="1092"/>
      <c r="V92" s="1092"/>
      <c r="W92" s="1092"/>
      <c r="X92" s="1092"/>
      <c r="Y92" s="1092"/>
      <c r="Z92" s="1093"/>
      <c r="AB92" s="1082" t="s">
        <v>360</v>
      </c>
      <c r="AC92" s="1082"/>
      <c r="AD92" s="1082"/>
      <c r="AE92" s="1082"/>
      <c r="AF92" s="1083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082"/>
      <c r="AC93" s="1082"/>
      <c r="AD93" s="1082"/>
      <c r="AE93" s="1082"/>
      <c r="AF93" s="1083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abSelected="1" topLeftCell="O22" zoomScale="70" zoomScaleNormal="70" workbookViewId="0">
      <selection activeCell="U63" sqref="U63"/>
    </sheetView>
    <sheetView workbookViewId="1"/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938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1007"/>
      <c r="S2" s="324"/>
      <c r="T2" s="1007"/>
      <c r="U2" s="1007"/>
      <c r="V2" s="324"/>
      <c r="W2" s="324"/>
      <c r="X2" s="324"/>
      <c r="Y2" s="324"/>
      <c r="Z2" s="324"/>
      <c r="AA2" s="324"/>
      <c r="AB2" s="324"/>
      <c r="AC2" s="1008"/>
      <c r="AD2" s="1002"/>
      <c r="AE2" s="324"/>
      <c r="AF2" s="1007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937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936</v>
      </c>
      <c r="AG3" s="34"/>
      <c r="AH3" s="686"/>
      <c r="AI3" s="686"/>
      <c r="AJ3" s="686"/>
      <c r="AK3" s="686"/>
      <c r="AL3" s="686"/>
      <c r="AM3" s="686"/>
      <c r="AN3" s="324"/>
      <c r="AO3" s="324"/>
      <c r="AP3" s="324"/>
      <c r="AQ3" s="324"/>
      <c r="AR3" s="324"/>
    </row>
    <row r="4" spans="1:44" ht="15" customHeight="1" thickBot="1">
      <c r="A4" s="324"/>
      <c r="B4" s="1094" t="s">
        <v>798</v>
      </c>
      <c r="C4" s="1095"/>
      <c r="D4" s="1095"/>
      <c r="E4" s="1095"/>
      <c r="F4" s="1095"/>
      <c r="G4" s="1096"/>
      <c r="H4" s="1094" t="s">
        <v>799</v>
      </c>
      <c r="I4" s="1095"/>
      <c r="J4" s="1096"/>
      <c r="K4" s="324"/>
      <c r="L4" s="36" t="s">
        <v>933</v>
      </c>
      <c r="M4" s="36" t="s">
        <v>260</v>
      </c>
      <c r="N4" s="36" t="s">
        <v>272</v>
      </c>
      <c r="O4" s="36" t="s">
        <v>262</v>
      </c>
      <c r="P4" s="36" t="s">
        <v>1011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1013</v>
      </c>
      <c r="AB4" s="44" t="s">
        <v>792</v>
      </c>
      <c r="AC4" s="48" t="s">
        <v>791</v>
      </c>
      <c r="AD4" s="48" t="s">
        <v>1014</v>
      </c>
      <c r="AE4" s="344"/>
      <c r="AF4" s="36" t="s">
        <v>266</v>
      </c>
      <c r="AG4" s="36" t="s">
        <v>933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946</v>
      </c>
      <c r="M5" s="37" t="s">
        <v>276</v>
      </c>
      <c r="N5" s="37" t="s">
        <v>277</v>
      </c>
      <c r="O5" s="37" t="s">
        <v>278</v>
      </c>
      <c r="P5" s="37" t="s">
        <v>1012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1016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1015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1011">
        <f>(G7+G14+G16)/300</f>
        <v>0.59018803418803423</v>
      </c>
      <c r="V7" s="1011">
        <f>AB7/S7/X7</f>
        <v>0.25129482649071377</v>
      </c>
      <c r="W7" s="511">
        <v>20</v>
      </c>
      <c r="X7" s="509">
        <f>31.536*(AD7/1000)</f>
        <v>0.7884000000000001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25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1013">
        <f>IF((G8/100)&gt;1,0.9)</f>
        <v>0.9</v>
      </c>
      <c r="V8" s="1013">
        <f>AB8/S8/X8</f>
        <v>5.6742452222251537E-3</v>
      </c>
      <c r="W8" s="517">
        <v>20</v>
      </c>
      <c r="X8" s="1009">
        <f t="shared" ref="X8:X12" si="2">31.536*(AD8/1000)</f>
        <v>0.7884000000000001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1004">
        <v>25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1011">
        <f>IF((G9/100)&gt;1,0.9)</f>
        <v>0.9</v>
      </c>
      <c r="V9" s="1011">
        <f t="shared" ref="V9:V12" si="3">AB9/S9/X9</f>
        <v>1.2211431611675369E-5</v>
      </c>
      <c r="W9" s="511">
        <v>20</v>
      </c>
      <c r="X9" s="509">
        <f t="shared" si="2"/>
        <v>0.7884000000000001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25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1013">
        <f>(G10+G11)/200</f>
        <v>0.80677902621722841</v>
      </c>
      <c r="V10" s="1013">
        <f t="shared" si="3"/>
        <v>2.9272695574174865E-2</v>
      </c>
      <c r="W10" s="517">
        <v>20</v>
      </c>
      <c r="X10" s="1009">
        <f t="shared" si="2"/>
        <v>0.7884000000000001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1004">
        <v>25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(0.55*SUM(E12+E25))/SUM($E$7:$E$25)</f>
        <v>0.26256750942164458</v>
      </c>
      <c r="S11" s="508">
        <f>(R11)*DwellingStocks!$I$38/1000</f>
        <v>54.298668185623093</v>
      </c>
      <c r="T11" s="509">
        <f>(S11*1000)/(E25)*DwellingStocks!$T$37-0.118</f>
        <v>0.94989214542135791</v>
      </c>
      <c r="U11" s="1011">
        <f>(G25)/100</f>
        <v>1</v>
      </c>
      <c r="V11" s="1011">
        <f t="shared" si="3"/>
        <v>1.4246870602636888E-2</v>
      </c>
      <c r="W11" s="511">
        <v>20</v>
      </c>
      <c r="X11" s="509">
        <f t="shared" si="2"/>
        <v>0.7884000000000001</v>
      </c>
      <c r="Y11" s="511"/>
      <c r="Z11" s="511"/>
      <c r="AA11" s="511"/>
      <c r="AB11" s="512">
        <f t="shared" si="0"/>
        <v>0.60989528087425227</v>
      </c>
      <c r="AC11" s="512">
        <f>IF(((D25+I25)*T11*$B$2)&lt;=0,0,((D25+I25)*T11*$B$2))</f>
        <v>0.60989528087425227</v>
      </c>
      <c r="AD11" s="511">
        <v>25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(0.45*SUM(E12+E25))/SUM($E$7:$E$25)</f>
        <v>0.21482796225407283</v>
      </c>
      <c r="S12" s="515">
        <f>R12*DwellingStocks!$I$38/1000</f>
        <v>44.426183060964341</v>
      </c>
      <c r="T12" s="516">
        <f>((S12+S25)*1000)/E12*DwellingStocks!$T$37-0.118</f>
        <v>1.1236767819149764</v>
      </c>
      <c r="U12" s="1013">
        <f>G12/100</f>
        <v>3.0701960784313722</v>
      </c>
      <c r="V12" s="1013">
        <f t="shared" si="3"/>
        <v>2.2548139954792566E-2</v>
      </c>
      <c r="W12" s="517">
        <v>20</v>
      </c>
      <c r="X12" s="1009">
        <f t="shared" si="2"/>
        <v>0.7884000000000001</v>
      </c>
      <c r="Y12" s="517"/>
      <c r="Z12" s="517"/>
      <c r="AA12" s="517"/>
      <c r="AB12" s="518">
        <f>AC12*U12</f>
        <v>0.78976219225022315</v>
      </c>
      <c r="AC12" s="519">
        <f>IF(((D12+I12)*T12*$B$2)&lt;=0,0,((D12+I12)*T12*$B$2))</f>
        <v>0.25723509902133979</v>
      </c>
      <c r="AD12" s="1004">
        <v>25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1011"/>
      <c r="V13" s="1011"/>
      <c r="W13" s="511"/>
      <c r="X13" s="509"/>
      <c r="Y13" s="511"/>
      <c r="Z13" s="511"/>
      <c r="AA13" s="512">
        <f>AC13/AB12</f>
        <v>0.27876079957853434</v>
      </c>
      <c r="AB13" s="512"/>
      <c r="AC13" s="512">
        <f>RSD_Balance!F22</f>
        <v>0.22015474018856834</v>
      </c>
      <c r="AD13" s="511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1013">
        <f>G13/100</f>
        <v>0.81016216216216219</v>
      </c>
      <c r="V14" s="1013">
        <f>AB14/S14/X14</f>
        <v>4.7386892734226298E-2</v>
      </c>
      <c r="W14" s="517">
        <v>20</v>
      </c>
      <c r="X14" s="1009">
        <f>31.536*(AD14/1000)</f>
        <v>0.7884000000000001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1004">
        <v>25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5" t="s">
        <v>259</v>
      </c>
      <c r="M15" s="685" t="s">
        <v>259</v>
      </c>
      <c r="N15" s="520"/>
      <c r="O15" s="520"/>
      <c r="P15" s="520"/>
      <c r="Q15" s="521"/>
      <c r="R15" s="522"/>
      <c r="S15" s="520"/>
      <c r="T15" s="522"/>
      <c r="U15" s="1015"/>
      <c r="V15" s="1015"/>
      <c r="W15" s="520"/>
      <c r="X15" s="1005"/>
      <c r="Y15" s="520"/>
      <c r="Z15" s="520"/>
      <c r="AA15" s="520"/>
      <c r="AB15" s="520"/>
      <c r="AC15" s="520"/>
      <c r="AD15" s="1006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97">
        <f>E15/SUM($E$7:$E$25)</f>
        <v>0.4073933944627437</v>
      </c>
      <c r="S16" s="1098">
        <f>R16*DwellingStocks!$I$38/1000</f>
        <v>84.248499731260551</v>
      </c>
      <c r="T16" s="516">
        <f>(S16*1000)/E15*DwellingStocks!$T$37</f>
        <v>1.1396707013624292</v>
      </c>
      <c r="U16" s="1013">
        <f>G15/100</f>
        <v>0.81026881720430111</v>
      </c>
      <c r="V16" s="1013">
        <f>AB16/S16/X16</f>
        <v>1.5041967068403835E-2</v>
      </c>
      <c r="W16" s="517">
        <v>20</v>
      </c>
      <c r="X16" s="1009">
        <f>31.536*(AD16/1000)</f>
        <v>0.7884000000000001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1004">
        <v>25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5" t="s">
        <v>259</v>
      </c>
      <c r="M17" s="685" t="s">
        <v>259</v>
      </c>
      <c r="N17" s="520"/>
      <c r="O17" s="520"/>
      <c r="P17" s="520"/>
      <c r="Q17" s="521"/>
      <c r="R17" s="522"/>
      <c r="S17" s="520"/>
      <c r="T17" s="522"/>
      <c r="U17" s="1015"/>
      <c r="V17" s="1015"/>
      <c r="W17" s="520"/>
      <c r="X17" s="1005"/>
      <c r="Y17" s="520"/>
      <c r="Z17" s="520"/>
      <c r="AA17" s="520"/>
      <c r="AB17" s="520"/>
      <c r="AC17" s="520"/>
      <c r="AD17" s="1006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1013">
        <f>(G17+G18)/200</f>
        <v>0.52500000000000002</v>
      </c>
      <c r="V18" s="1013">
        <f>AB18/S18/X18</f>
        <v>9.496830364399933E-2</v>
      </c>
      <c r="W18" s="517">
        <v>20</v>
      </c>
      <c r="X18" s="1009">
        <f>31.536*(AD18/1000)</f>
        <v>0.7884000000000001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1004">
        <v>25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5" t="s">
        <v>259</v>
      </c>
      <c r="M19" s="685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1005"/>
      <c r="Y19" s="520"/>
      <c r="Z19" s="520"/>
      <c r="AA19" s="520"/>
      <c r="AB19" s="520"/>
      <c r="AC19" s="520"/>
      <c r="AD19" s="1006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1013">
        <f>G19/100</f>
        <v>0.58177777777777773</v>
      </c>
      <c r="V20" s="1013">
        <f>SUM(AB20:AB22)/S20/X20</f>
        <v>8.8189793033597724E-2</v>
      </c>
      <c r="W20" s="517">
        <v>20</v>
      </c>
      <c r="X20" s="1009">
        <f>31.536*(AD20/1000)</f>
        <v>0.7884000000000001</v>
      </c>
      <c r="Y20" s="695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1004">
        <v>25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1014"/>
      <c r="V21" s="1011"/>
      <c r="W21" s="511"/>
      <c r="X21" s="509"/>
      <c r="Y21" s="696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25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1012"/>
      <c r="V22" s="1013"/>
      <c r="W22" s="517"/>
      <c r="X22" s="1009"/>
      <c r="Y22" s="695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1004">
        <v>25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1011">
        <f>(G21+G22+G23)/300</f>
        <v>0.6880451127819549</v>
      </c>
      <c r="V23" s="1011">
        <f>AB23/S23/X23</f>
        <v>2.2384455613659173E-2</v>
      </c>
      <c r="W23" s="511">
        <v>20</v>
      </c>
      <c r="X23" s="509">
        <f t="shared" ref="X23:X24" si="5">31.536*(AD23/1000)</f>
        <v>0.7884000000000001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25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1013">
        <f>G24/100</f>
        <v>0.39838442187649958</v>
      </c>
      <c r="V24" s="1013">
        <f>AB24/S24/X24</f>
        <v>1.4093345296688439E-3</v>
      </c>
      <c r="W24" s="517">
        <v>20</v>
      </c>
      <c r="X24" s="1009">
        <f t="shared" si="5"/>
        <v>0.7884000000000001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1004">
        <v>25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2.8479092627959015</v>
      </c>
      <c r="AC27" s="499">
        <f>SUM(AC6:AC25)</f>
        <v>2.959660673711749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4" t="s">
        <v>798</v>
      </c>
      <c r="C28" s="1095"/>
      <c r="D28" s="1095"/>
      <c r="E28" s="1095"/>
      <c r="F28" s="1095"/>
      <c r="G28" s="1096"/>
      <c r="H28" s="1094" t="s">
        <v>799</v>
      </c>
      <c r="I28" s="1095"/>
      <c r="J28" s="109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1007"/>
      <c r="AE28" s="1007"/>
      <c r="AF28" s="506"/>
      <c r="AG28" s="1007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937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936</v>
      </c>
      <c r="AG29" s="34"/>
      <c r="AH29" s="686"/>
      <c r="AI29" s="686"/>
      <c r="AJ29" s="686"/>
      <c r="AK29" s="686"/>
      <c r="AL29" s="686"/>
      <c r="AM29" s="686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933</v>
      </c>
      <c r="M30" s="36" t="s">
        <v>260</v>
      </c>
      <c r="N30" s="36" t="s">
        <v>272</v>
      </c>
      <c r="O30" s="36" t="s">
        <v>262</v>
      </c>
      <c r="P30" s="36" t="s">
        <v>1011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1013</v>
      </c>
      <c r="AB30" s="44" t="s">
        <v>792</v>
      </c>
      <c r="AC30" s="48" t="s">
        <v>791</v>
      </c>
      <c r="AD30" s="48" t="s">
        <v>1014</v>
      </c>
      <c r="AE30" s="324"/>
      <c r="AF30" s="36" t="s">
        <v>266</v>
      </c>
      <c r="AG30" s="36" t="s">
        <v>933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946</v>
      </c>
      <c r="M31" s="37" t="s">
        <v>276</v>
      </c>
      <c r="N31" s="37" t="s">
        <v>277</v>
      </c>
      <c r="O31" s="37" t="s">
        <v>278</v>
      </c>
      <c r="P31" s="37" t="s">
        <v>1012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1015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1011">
        <f t="shared" ref="U33:U38" si="6">U7</f>
        <v>0.59018803418803423</v>
      </c>
      <c r="V33" s="1011">
        <f>IFERROR(AB33/S33/X33,0)</f>
        <v>5.4306956259161168E-2</v>
      </c>
      <c r="W33" s="511">
        <v>20</v>
      </c>
      <c r="X33" s="509">
        <f t="shared" ref="X33:X40" si="7">31.536*(AD33/1000)</f>
        <v>0.7884000000000001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25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1012">
        <f t="shared" si="6"/>
        <v>0.9</v>
      </c>
      <c r="V34" s="1013">
        <f t="shared" ref="V34:V40" si="10">AB34/S34/X34</f>
        <v>9.0061643835616448E-3</v>
      </c>
      <c r="W34" s="517">
        <v>20</v>
      </c>
      <c r="X34" s="1009">
        <f t="shared" si="7"/>
        <v>0.7884000000000001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1004">
        <v>25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1014">
        <f t="shared" si="6"/>
        <v>0.9</v>
      </c>
      <c r="V35" s="1011">
        <f t="shared" si="10"/>
        <v>1.0850684931506848E-2</v>
      </c>
      <c r="W35" s="511">
        <v>20</v>
      </c>
      <c r="X35" s="509">
        <f t="shared" si="7"/>
        <v>0.7884000000000001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25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1013">
        <f t="shared" si="6"/>
        <v>0.80677902621722841</v>
      </c>
      <c r="V36" s="1013">
        <f t="shared" si="10"/>
        <v>1.5902117368476274E-2</v>
      </c>
      <c r="W36" s="517">
        <v>20</v>
      </c>
      <c r="X36" s="1009">
        <f t="shared" si="7"/>
        <v>0.7884000000000001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1004">
        <v>25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(0.55*SUM(E36+E49))/SUM($E$31:$E$49)-($R$51/7)</f>
        <v>0.26232200624849589</v>
      </c>
      <c r="S37" s="508">
        <f>R37*DwellingStocks!$I$38/1000</f>
        <v>54.247898403151979</v>
      </c>
      <c r="T37" s="509">
        <f>IFERROR((S37*1000)/E49,0)-0.118</f>
        <v>1.3181934343733976</v>
      </c>
      <c r="U37" s="1011">
        <f t="shared" si="6"/>
        <v>1</v>
      </c>
      <c r="V37" s="1011">
        <f t="shared" si="10"/>
        <v>9.3525343973832522E-3</v>
      </c>
      <c r="W37" s="511">
        <v>20</v>
      </c>
      <c r="X37" s="509">
        <f t="shared" si="7"/>
        <v>0.7884000000000001</v>
      </c>
      <c r="Y37" s="511"/>
      <c r="Z37" s="511"/>
      <c r="AA37" s="511"/>
      <c r="AB37" s="512">
        <f t="shared" si="8"/>
        <v>0.39999894674569042</v>
      </c>
      <c r="AC37" s="512">
        <f>IF(((D49+I49)*$B$2)&lt;=0,0,((D49+I49)*T37*$B$2))</f>
        <v>0.39999894674569042</v>
      </c>
      <c r="AD37" s="511">
        <v>25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(0.45*SUM(E36+E49))/SUM($E$31:$E$49)-($R$51/7)</f>
        <v>0.21436735576175642</v>
      </c>
      <c r="S38" s="515">
        <f>R38*DwellingStocks!$I$38/1000</f>
        <v>44.33093015192955</v>
      </c>
      <c r="T38" s="516">
        <f>IFERROR((S38*1000)/E36,0)-0.118</f>
        <v>1.5508977205861365</v>
      </c>
      <c r="U38" s="1013">
        <f t="shared" si="6"/>
        <v>3.0701960784313722</v>
      </c>
      <c r="V38" s="1013">
        <f t="shared" si="10"/>
        <v>4.1340479966903113E-2</v>
      </c>
      <c r="W38" s="517">
        <v>20</v>
      </c>
      <c r="X38" s="1009">
        <f t="shared" si="7"/>
        <v>0.7884000000000001</v>
      </c>
      <c r="Y38" s="517"/>
      <c r="Z38" s="517"/>
      <c r="AA38" s="517"/>
      <c r="AB38" s="518">
        <f t="shared" si="8"/>
        <v>1.4448706655016439</v>
      </c>
      <c r="AC38" s="519">
        <f>IF(((D49+I49)*$B$2)&lt;=0,0,((D49+I49)*T38*$B$2))</f>
        <v>0.47061185298622971</v>
      </c>
      <c r="AD38" s="1004">
        <v>25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1013"/>
      <c r="V39" s="1013"/>
      <c r="W39" s="517"/>
      <c r="X39" s="1009"/>
      <c r="Y39" s="517"/>
      <c r="Z39" s="517"/>
      <c r="AA39" s="517">
        <f>AC39/AB38</f>
        <v>0.27876079957853434</v>
      </c>
      <c r="AB39" s="518"/>
      <c r="AC39" s="519">
        <f>RSD_Balance!I22</f>
        <v>0.40277330200280725</v>
      </c>
      <c r="AD39" s="1004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1011">
        <f>U14</f>
        <v>0.81016216216216219</v>
      </c>
      <c r="V40" s="1011">
        <f t="shared" si="10"/>
        <v>1.3460404021274769E-2</v>
      </c>
      <c r="W40" s="511">
        <v>20</v>
      </c>
      <c r="X40" s="509">
        <f t="shared" si="7"/>
        <v>0.7884000000000001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25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5" t="s">
        <v>259</v>
      </c>
      <c r="M41" s="685" t="s">
        <v>259</v>
      </c>
      <c r="N41" s="520"/>
      <c r="O41" s="520"/>
      <c r="P41" s="520"/>
      <c r="Q41" s="520"/>
      <c r="R41" s="521"/>
      <c r="S41" s="522"/>
      <c r="T41" s="520"/>
      <c r="U41" s="1015"/>
      <c r="V41" s="1015"/>
      <c r="W41" s="520"/>
      <c r="X41" s="1005"/>
      <c r="Y41" s="520"/>
      <c r="Z41" s="520"/>
      <c r="AA41" s="520"/>
      <c r="AB41" s="520"/>
      <c r="AC41" s="520"/>
      <c r="AD41" s="1006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1011">
        <f>U16</f>
        <v>0.81026881720430111</v>
      </c>
      <c r="V42" s="1011">
        <f>AB42/S42/X42</f>
        <v>9.0054738416460358E-3</v>
      </c>
      <c r="W42" s="511">
        <v>20</v>
      </c>
      <c r="X42" s="509">
        <f t="shared" ref="X42" si="11">31.536*(AD42/1000)</f>
        <v>0.7884000000000001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25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5" t="s">
        <v>259</v>
      </c>
      <c r="M43" s="685" t="s">
        <v>259</v>
      </c>
      <c r="N43" s="520"/>
      <c r="O43" s="520"/>
      <c r="P43" s="520"/>
      <c r="Q43" s="520"/>
      <c r="R43" s="521"/>
      <c r="S43" s="522"/>
      <c r="T43" s="520"/>
      <c r="U43" s="1015"/>
      <c r="V43" s="1015"/>
      <c r="W43" s="520"/>
      <c r="X43" s="1005"/>
      <c r="Y43" s="520"/>
      <c r="Z43" s="520"/>
      <c r="AA43" s="520"/>
      <c r="AB43" s="520"/>
      <c r="AC43" s="520"/>
      <c r="AD43" s="1006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1011">
        <f>U18</f>
        <v>0.52500000000000002</v>
      </c>
      <c r="V44" s="1011">
        <f>AB44/S44/X44</f>
        <v>1.0875263435194942E-2</v>
      </c>
      <c r="W44" s="511">
        <v>20</v>
      </c>
      <c r="X44" s="509">
        <f t="shared" ref="X44" si="12">31.536*(AD44/1000)</f>
        <v>0.7884000000000001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25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5" t="s">
        <v>259</v>
      </c>
      <c r="M45" s="685" t="s">
        <v>259</v>
      </c>
      <c r="N45" s="520"/>
      <c r="O45" s="520"/>
      <c r="P45" s="520"/>
      <c r="Q45" s="520"/>
      <c r="R45" s="521"/>
      <c r="S45" s="522"/>
      <c r="T45" s="520"/>
      <c r="U45" s="1015"/>
      <c r="V45" s="1015"/>
      <c r="W45" s="520"/>
      <c r="X45" s="1005"/>
      <c r="Y45" s="520"/>
      <c r="Z45" s="520"/>
      <c r="AA45" s="520"/>
      <c r="AB45" s="520"/>
      <c r="AC45" s="520"/>
      <c r="AD45" s="1006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1012">
        <f>U20</f>
        <v>0.58177777777777773</v>
      </c>
      <c r="V46" s="1013">
        <f>SUM(AB46:AB48)/S46/X46</f>
        <v>1.0823557576601311E-2</v>
      </c>
      <c r="W46" s="517">
        <v>20</v>
      </c>
      <c r="X46" s="1009">
        <f t="shared" ref="X46" si="13">31.536*(AD46/1000)</f>
        <v>0.7884000000000001</v>
      </c>
      <c r="Y46" s="695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1004">
        <v>25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1014"/>
      <c r="V47" s="1011"/>
      <c r="W47" s="511"/>
      <c r="X47" s="509"/>
      <c r="Y47" s="696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25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1012"/>
      <c r="V48" s="1013"/>
      <c r="W48" s="517"/>
      <c r="X48" s="1009"/>
      <c r="Y48" s="695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1004">
        <v>25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1011">
        <f>U23</f>
        <v>0.6880451127819549</v>
      </c>
      <c r="V49" s="1011">
        <f>AB49/S49/X49</f>
        <v>1.2379344812246899E-2</v>
      </c>
      <c r="W49" s="511">
        <v>20</v>
      </c>
      <c r="X49" s="509">
        <f t="shared" ref="X49:X51" si="16">31.536*(AD49/1000)</f>
        <v>0.7884000000000001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25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7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1013">
        <f>U24</f>
        <v>0.39838442187649958</v>
      </c>
      <c r="V50" s="1013">
        <f>AB50/S50/X50</f>
        <v>3.8847834889027099E-4</v>
      </c>
      <c r="W50" s="517">
        <v>20</v>
      </c>
      <c r="X50" s="1009">
        <f t="shared" si="16"/>
        <v>0.7884000000000001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1004">
        <v>25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8">
        <v>0.01</v>
      </c>
      <c r="S51" s="508">
        <f>R51*DwellingStocks!$I$38/1000</f>
        <v>2.0679888499999999</v>
      </c>
      <c r="T51" s="509">
        <f>MAX(T33:T50)</f>
        <v>1.9721891611957223</v>
      </c>
      <c r="U51" s="1011">
        <v>1</v>
      </c>
      <c r="V51" s="1011">
        <f>AB51/S51/X51</f>
        <v>1.0946059106357578E-2</v>
      </c>
      <c r="W51" s="511">
        <v>20</v>
      </c>
      <c r="X51" s="509">
        <f t="shared" si="16"/>
        <v>0.7884000000000001</v>
      </c>
      <c r="Y51" s="511"/>
      <c r="Z51" s="511"/>
      <c r="AA51" s="511"/>
      <c r="AB51" s="512">
        <f>AC51*U51</f>
        <v>1.7846481139783446E-2</v>
      </c>
      <c r="AC51" s="512">
        <f>RSD_Balance!I18</f>
        <v>1.7846481139783446E-2</v>
      </c>
      <c r="AD51" s="511">
        <v>25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2.564911112624062</v>
      </c>
      <c r="AC54" s="499">
        <f>SUM(AC31:AC52)</f>
        <v>2.1678180344446631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936</v>
      </c>
      <c r="AG55" s="34"/>
      <c r="AH55" s="686"/>
      <c r="AI55" s="686"/>
      <c r="AJ55" s="686"/>
      <c r="AK55" s="686"/>
      <c r="AL55" s="686"/>
      <c r="AM55" s="686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937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933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933</v>
      </c>
      <c r="M57" s="36" t="s">
        <v>260</v>
      </c>
      <c r="N57" s="36" t="s">
        <v>272</v>
      </c>
      <c r="O57" s="36" t="s">
        <v>262</v>
      </c>
      <c r="P57" s="36" t="s">
        <v>1011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1013</v>
      </c>
      <c r="AB57" s="44" t="s">
        <v>792</v>
      </c>
      <c r="AC57" s="48" t="s">
        <v>791</v>
      </c>
      <c r="AD57" s="48" t="s">
        <v>1014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946</v>
      </c>
      <c r="M58" s="37" t="s">
        <v>276</v>
      </c>
      <c r="N58" s="37" t="s">
        <v>277</v>
      </c>
      <c r="O58" s="37" t="s">
        <v>278</v>
      </c>
      <c r="P58" s="37" t="s">
        <v>1012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1018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1011">
        <v>0.4</v>
      </c>
      <c r="V59" s="1011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1017">
        <f>DwellingStocks!I38/1000</f>
        <v>206.79888499999998</v>
      </c>
      <c r="T60" s="513">
        <f>(S60*1000)/SUM(G54:G62)-0.188</f>
        <v>1.346150500382056</v>
      </c>
      <c r="U60" s="1018">
        <v>0.6</v>
      </c>
      <c r="V60" s="1018">
        <f>AB60/S60/X60</f>
        <v>0.12635353241295524</v>
      </c>
      <c r="W60" s="1019">
        <v>15</v>
      </c>
      <c r="X60" s="1020">
        <f t="shared" ref="X60" si="18">31.536*(AD60/1000)</f>
        <v>1.5768000000000002E-3</v>
      </c>
      <c r="Y60" s="1019"/>
      <c r="Z60" s="1019"/>
      <c r="AA60" s="1019"/>
      <c r="AB60" s="1021">
        <f>AC60*U60</f>
        <v>4.120142073494041E-2</v>
      </c>
      <c r="AC60" s="519">
        <f>(F54+F55+F56+F57+F58+F59+F60+F61+F62)*T60*$B$2</f>
        <v>6.8669034558234018E-2</v>
      </c>
      <c r="AD60" s="1003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20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F1" zoomScale="60" zoomScaleNormal="60" workbookViewId="0">
      <selection activeCell="T38" sqref="T38"/>
    </sheetView>
    <sheetView workbookViewId="1"/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938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937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936</v>
      </c>
      <c r="AG3" s="34"/>
      <c r="AH3" s="686"/>
      <c r="AI3" s="686"/>
      <c r="AJ3" s="686"/>
      <c r="AK3" s="686"/>
      <c r="AL3" s="686"/>
      <c r="AM3" s="686"/>
      <c r="AN3" s="324"/>
      <c r="AO3" s="324"/>
      <c r="AP3" s="324"/>
      <c r="AQ3" s="324"/>
      <c r="AR3" s="324"/>
    </row>
    <row r="4" spans="1:44" ht="15" customHeight="1" thickBot="1">
      <c r="A4" s="324"/>
      <c r="B4" s="1094" t="s">
        <v>798</v>
      </c>
      <c r="C4" s="1095"/>
      <c r="D4" s="1095"/>
      <c r="E4" s="1095"/>
      <c r="F4" s="1095"/>
      <c r="G4" s="1096"/>
      <c r="H4" s="1094" t="s">
        <v>799</v>
      </c>
      <c r="I4" s="1095"/>
      <c r="J4" s="1096"/>
      <c r="K4" s="324"/>
      <c r="L4" s="36" t="s">
        <v>933</v>
      </c>
      <c r="M4" s="36" t="s">
        <v>260</v>
      </c>
      <c r="N4" s="36" t="s">
        <v>272</v>
      </c>
      <c r="O4" s="36" t="s">
        <v>262</v>
      </c>
      <c r="P4" s="36" t="s">
        <v>1011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1013</v>
      </c>
      <c r="AB4" s="44" t="s">
        <v>792</v>
      </c>
      <c r="AC4" s="48" t="s">
        <v>791</v>
      </c>
      <c r="AD4" s="48" t="s">
        <v>1014</v>
      </c>
      <c r="AE4" s="344"/>
      <c r="AF4" s="36" t="s">
        <v>266</v>
      </c>
      <c r="AG4" s="36" t="s">
        <v>933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946</v>
      </c>
      <c r="M5" s="37" t="s">
        <v>276</v>
      </c>
      <c r="N5" s="37" t="s">
        <v>277</v>
      </c>
      <c r="O5" s="37" t="s">
        <v>278</v>
      </c>
      <c r="P5" s="37" t="s">
        <v>1012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1016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1015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1011">
        <f>(G7+G14+G16)/300</f>
        <v>0.55798087905732663</v>
      </c>
      <c r="V7" s="1011">
        <f>AB7/S7/X7</f>
        <v>0.2542782071524623</v>
      </c>
      <c r="W7" s="511">
        <v>20</v>
      </c>
      <c r="X7" s="509">
        <f>31.536*(AD7/1000)</f>
        <v>0.7884000000000001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1013">
        <f>(G8)/100</f>
        <v>1</v>
      </c>
      <c r="V8" s="1013">
        <f>AB8/S8/X8</f>
        <v>1.9727143416387209E-2</v>
      </c>
      <c r="W8" s="517">
        <v>20</v>
      </c>
      <c r="X8" s="1009">
        <f t="shared" ref="X8:X12" si="1">31.536*(AD8/1000)</f>
        <v>0.7884000000000001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1004">
        <v>25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1014">
        <v>0.9</v>
      </c>
      <c r="V9" s="1011">
        <f>IFERROR(AB9/S9/X9,0)</f>
        <v>0</v>
      </c>
      <c r="W9" s="511">
        <v>20</v>
      </c>
      <c r="X9" s="509">
        <f t="shared" si="1"/>
        <v>0.7884000000000001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1013">
        <f>(G10+G11)/200</f>
        <v>0.8070757743362833</v>
      </c>
      <c r="V10" s="1013">
        <f t="shared" ref="V10:V12" si="2">AB10/S10/X10</f>
        <v>3.9240072157175607E-2</v>
      </c>
      <c r="W10" s="517">
        <v>20</v>
      </c>
      <c r="X10" s="1009">
        <f t="shared" si="1"/>
        <v>0.7884000000000001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1004">
        <v>25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(0.55*SUM(E12+E25))/SUM($E$7:$E$25)</f>
        <v>4.6053909460061944E-2</v>
      </c>
      <c r="S11" s="508">
        <f>(R11)*DwellingStocks!$J$38/1000</f>
        <v>35.293492773496638</v>
      </c>
      <c r="T11" s="509">
        <f>(S11*1000)/(E25)*DwellingStocks!$U$37-0.118</f>
        <v>1.8194306005549614</v>
      </c>
      <c r="U11" s="1011">
        <f>(G25)/100</f>
        <v>1</v>
      </c>
      <c r="V11" s="1011">
        <f t="shared" si="2"/>
        <v>3.5720373833753837E-2</v>
      </c>
      <c r="W11" s="511">
        <v>20</v>
      </c>
      <c r="X11" s="509">
        <f t="shared" si="1"/>
        <v>0.7884000000000001</v>
      </c>
      <c r="Y11" s="511"/>
      <c r="Z11" s="511"/>
      <c r="AA11" s="511"/>
      <c r="AB11" s="512">
        <f>AC11*U11</f>
        <v>0.99393332224764075</v>
      </c>
      <c r="AC11" s="512">
        <f>IF(((D25+I25)*T11*$B$2)&lt;=0,0,((D25+I25)*T11*$B$2))</f>
        <v>0.99393332224764075</v>
      </c>
      <c r="AD11" s="511">
        <v>25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(0.45*SUM(E12+E25))/SUM($E$7:$E$25)</f>
        <v>3.768047137641431E-2</v>
      </c>
      <c r="S12" s="515">
        <f>R12*DwellingStocks!$J$38/1000</f>
        <v>28.876494087406336</v>
      </c>
      <c r="T12" s="516">
        <f>(S12*1000)/E12*DwellingStocks!$U$37-0.118</f>
        <v>0.80027634709437512</v>
      </c>
      <c r="U12" s="1013">
        <f>G12/100</f>
        <v>3.1157627118644071</v>
      </c>
      <c r="V12" s="1013">
        <f t="shared" si="2"/>
        <v>1.7835170957140375E-2</v>
      </c>
      <c r="W12" s="517">
        <v>20</v>
      </c>
      <c r="X12" s="1009">
        <f t="shared" si="1"/>
        <v>0.7884000000000001</v>
      </c>
      <c r="Y12" s="517"/>
      <c r="Z12" s="517"/>
      <c r="AA12" s="517"/>
      <c r="AB12" s="518">
        <f>AC12*U12</f>
        <v>0.40603956733257196</v>
      </c>
      <c r="AC12" s="519">
        <f>IF(((D12+I12)*T12*$B$2)&lt;=0,0,((D12+I12)*T12*$B$2))</f>
        <v>0.13031787234195585</v>
      </c>
      <c r="AD12" s="1004">
        <v>25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1016"/>
      <c r="V13" s="1016"/>
      <c r="X13" s="1010"/>
      <c r="AA13" s="1001">
        <f>AC13/AB12</f>
        <v>0.27468404780230743</v>
      </c>
      <c r="AC13" s="1000">
        <f>RSD_Balance!G22</f>
        <v>0.11153259192280841</v>
      </c>
      <c r="AD13" s="1000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1011">
        <f>G13/100</f>
        <v>0.81941558441558437</v>
      </c>
      <c r="V14" s="1011">
        <f>AB14/S14/X14</f>
        <v>3.5982700943281147E-2</v>
      </c>
      <c r="W14" s="511">
        <v>20</v>
      </c>
      <c r="X14" s="509">
        <f>31.536*(AD14/1000)</f>
        <v>0.7884000000000001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5" t="s">
        <v>259</v>
      </c>
      <c r="M15" s="685" t="s">
        <v>259</v>
      </c>
      <c r="N15" s="520"/>
      <c r="O15" s="520"/>
      <c r="P15" s="520"/>
      <c r="Q15" s="520"/>
      <c r="R15" s="521"/>
      <c r="S15" s="522"/>
      <c r="T15" s="520"/>
      <c r="U15" s="1015"/>
      <c r="V15" s="1015"/>
      <c r="W15" s="520"/>
      <c r="X15" s="1005"/>
      <c r="Y15" s="520"/>
      <c r="Z15" s="520"/>
      <c r="AA15" s="520"/>
      <c r="AB15" s="520"/>
      <c r="AC15" s="520"/>
      <c r="AD15" s="1006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1011">
        <f>G15/100</f>
        <v>0.81729411764705884</v>
      </c>
      <c r="V16" s="1011">
        <f>AB16/S16/X16</f>
        <v>2.8026244703222708E-2</v>
      </c>
      <c r="W16" s="511">
        <v>20</v>
      </c>
      <c r="X16" s="509">
        <f>31.536*(AD16/1000)</f>
        <v>0.7884000000000001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25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5" t="s">
        <v>259</v>
      </c>
      <c r="M17" s="685" t="s">
        <v>259</v>
      </c>
      <c r="N17" s="520"/>
      <c r="O17" s="520"/>
      <c r="P17" s="520"/>
      <c r="Q17" s="520"/>
      <c r="R17" s="521"/>
      <c r="S17" s="522"/>
      <c r="T17" s="520"/>
      <c r="U17" s="1015"/>
      <c r="V17" s="1015"/>
      <c r="W17" s="520"/>
      <c r="X17" s="1005"/>
      <c r="Y17" s="520"/>
      <c r="Z17" s="520"/>
      <c r="AA17" s="520"/>
      <c r="AB17" s="520"/>
      <c r="AC17" s="520"/>
      <c r="AD17" s="1006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1011">
        <f>(G17+G18)/200</f>
        <v>0.5509294871794872</v>
      </c>
      <c r="V18" s="1011">
        <f>AB18/S18/X18</f>
        <v>5.6714843841128453E-2</v>
      </c>
      <c r="W18" s="511">
        <v>20</v>
      </c>
      <c r="X18" s="509">
        <f>31.536*(AD18/1000)</f>
        <v>0.7884000000000001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5" t="s">
        <v>259</v>
      </c>
      <c r="M19" s="685" t="s">
        <v>259</v>
      </c>
      <c r="N19" s="520"/>
      <c r="O19" s="520"/>
      <c r="P19" s="520"/>
      <c r="Q19" s="520"/>
      <c r="R19" s="521"/>
      <c r="S19" s="522"/>
      <c r="T19" s="520"/>
      <c r="U19" s="1015"/>
      <c r="V19" s="1015"/>
      <c r="W19" s="520"/>
      <c r="X19" s="1005"/>
      <c r="Y19" s="520"/>
      <c r="Z19" s="520"/>
      <c r="AA19" s="520"/>
      <c r="AB19" s="520"/>
      <c r="AC19" s="520"/>
      <c r="AD19" s="1006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1012">
        <f>G19/100</f>
        <v>0.57113772455089817</v>
      </c>
      <c r="V20" s="1013">
        <f>SUM(AB20:AB22)/S20/X20</f>
        <v>5.8905144753244813E-2</v>
      </c>
      <c r="W20" s="517">
        <v>20</v>
      </c>
      <c r="X20" s="1009">
        <f>31.536*(AD20/1000)</f>
        <v>0.7884000000000001</v>
      </c>
      <c r="Y20" s="695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1004">
        <v>25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1014"/>
      <c r="V21" s="1011"/>
      <c r="W21" s="511"/>
      <c r="X21" s="509"/>
      <c r="Y21" s="696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1012"/>
      <c r="V22" s="1013"/>
      <c r="W22" s="517"/>
      <c r="X22" s="1009"/>
      <c r="Y22" s="695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1004">
        <v>25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1011">
        <f>(G21+G22+G23)/300</f>
        <v>0.70400656814449913</v>
      </c>
      <c r="V23" s="1011">
        <f>AB23/S23/X23</f>
        <v>9.5214188778549314E-2</v>
      </c>
      <c r="W23" s="511">
        <v>20</v>
      </c>
      <c r="X23" s="509">
        <f t="shared" ref="X23:X24" si="4">31.536*(AD23/1000)</f>
        <v>0.7884000000000001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1013">
        <f>G24/100</f>
        <v>0.60949973059968388</v>
      </c>
      <c r="V24" s="1013">
        <f>AB24/S24/X24</f>
        <v>1.82983145664136E-2</v>
      </c>
      <c r="W24" s="517">
        <v>20</v>
      </c>
      <c r="X24" s="1009">
        <f t="shared" si="4"/>
        <v>0.7884000000000001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1004">
        <v>25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21.513798204104173</v>
      </c>
      <c r="AC27" s="499">
        <f>SUM(AC6:AC25)</f>
        <v>28.095372696870363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4" t="s">
        <v>798</v>
      </c>
      <c r="C28" s="1095"/>
      <c r="D28" s="1095"/>
      <c r="E28" s="1095"/>
      <c r="F28" s="1095"/>
      <c r="G28" s="1096"/>
      <c r="H28" s="1094" t="s">
        <v>799</v>
      </c>
      <c r="I28" s="1095"/>
      <c r="J28" s="109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1007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937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936</v>
      </c>
      <c r="AG29" s="34"/>
      <c r="AH29" s="686"/>
      <c r="AI29" s="686"/>
      <c r="AJ29" s="686"/>
      <c r="AK29" s="686"/>
      <c r="AL29" s="686"/>
      <c r="AM29" s="686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933</v>
      </c>
      <c r="M30" s="36" t="s">
        <v>260</v>
      </c>
      <c r="N30" s="36" t="s">
        <v>272</v>
      </c>
      <c r="O30" s="36" t="s">
        <v>262</v>
      </c>
      <c r="P30" s="36" t="s">
        <v>1011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1013</v>
      </c>
      <c r="AB30" s="44" t="s">
        <v>792</v>
      </c>
      <c r="AC30" s="48" t="s">
        <v>791</v>
      </c>
      <c r="AD30" s="48" t="s">
        <v>1014</v>
      </c>
      <c r="AE30" s="324"/>
      <c r="AF30" s="36" t="s">
        <v>266</v>
      </c>
      <c r="AG30" s="36" t="s">
        <v>933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946</v>
      </c>
      <c r="M31" s="37" t="s">
        <v>276</v>
      </c>
      <c r="N31" s="37" t="s">
        <v>277</v>
      </c>
      <c r="O31" s="37" t="s">
        <v>278</v>
      </c>
      <c r="P31" s="37" t="s">
        <v>1012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1015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1011">
        <f>U7</f>
        <v>0.55798087905732663</v>
      </c>
      <c r="V33" s="1011">
        <f>IFERROR(AB33/S33/X33,0)</f>
        <v>2.0871971515326767E-2</v>
      </c>
      <c r="W33" s="511">
        <v>20</v>
      </c>
      <c r="X33" s="509">
        <f t="shared" ref="X33:X40" si="5">31.536*(AD33/1000)</f>
        <v>0.7884000000000001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25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1013">
        <f>U8</f>
        <v>1</v>
      </c>
      <c r="V34" s="1013">
        <f>AB34/S34/X34</f>
        <v>1.778386605783866E-2</v>
      </c>
      <c r="W34" s="517">
        <v>20</v>
      </c>
      <c r="X34" s="1009">
        <f t="shared" si="5"/>
        <v>0.7884000000000001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1004">
        <v>25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1014">
        <v>0.9</v>
      </c>
      <c r="V35" s="1011">
        <f>IFERROR(AB35/S35/X35,0)</f>
        <v>1.3442465753424655E-2</v>
      </c>
      <c r="W35" s="511">
        <v>20</v>
      </c>
      <c r="X35" s="509">
        <f t="shared" si="5"/>
        <v>0.7884000000000001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25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1013">
        <f>U10</f>
        <v>0.8070757743362833</v>
      </c>
      <c r="V36" s="1013">
        <f t="shared" ref="V36:V44" si="7">AB36/S36/X36</f>
        <v>2.0113483735634135E-2</v>
      </c>
      <c r="W36" s="517">
        <v>20</v>
      </c>
      <c r="X36" s="1009">
        <f t="shared" si="5"/>
        <v>0.7884000000000001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1004">
        <v>25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(0.55*SUM(E36+E49))/SUM($E$31:$E$49)-($R$51/7)</f>
        <v>4.4496549918293916E-2</v>
      </c>
      <c r="S37" s="508">
        <f>R37*DwellingStocks!$J$38/1000</f>
        <v>34.100007608446937</v>
      </c>
      <c r="T37" s="509">
        <f>IFERROR((S37*1000)/E49,0)-0.118</f>
        <v>2.5575596397369118</v>
      </c>
      <c r="U37" s="1011">
        <f>U11</f>
        <v>1</v>
      </c>
      <c r="V37" s="1011">
        <f t="shared" si="7"/>
        <v>1.4964718568625015E-2</v>
      </c>
      <c r="W37" s="511">
        <v>20</v>
      </c>
      <c r="X37" s="509">
        <f t="shared" si="5"/>
        <v>0.7884000000000001</v>
      </c>
      <c r="Y37" s="511"/>
      <c r="Z37" s="511"/>
      <c r="AA37" s="511"/>
      <c r="AB37" s="512">
        <f>AC37*U37</f>
        <v>0.40231816824094296</v>
      </c>
      <c r="AC37" s="512">
        <f>IF(((D49+I49)*$B$2)&lt;=0,0,((D49+I49)*T37*$B$2))</f>
        <v>0.40231816824094296</v>
      </c>
      <c r="AD37" s="511">
        <v>25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(0.45*SUM(E36+E49))/SUM($E$31:$E$49)-($R$51/7)</f>
        <v>3.6146527855227491E-2</v>
      </c>
      <c r="S38" s="515">
        <f>R38*DwellingStocks!$J$38/1000</f>
        <v>27.70095383002802</v>
      </c>
      <c r="T38" s="516">
        <f>IFERROR((S38*1000)/E36,0)-0.118</f>
        <v>1.1588358529628033</v>
      </c>
      <c r="U38" s="1013">
        <f>U12</f>
        <v>3.1157627118644071</v>
      </c>
      <c r="V38" s="1013">
        <f t="shared" si="7"/>
        <v>2.6006914820822385E-2</v>
      </c>
      <c r="W38" s="517">
        <v>20</v>
      </c>
      <c r="X38" s="1009">
        <f t="shared" si="5"/>
        <v>0.7884000000000001</v>
      </c>
      <c r="Y38" s="517"/>
      <c r="Z38" s="517"/>
      <c r="AA38" s="517"/>
      <c r="AB38" s="518">
        <f>AC38*U38</f>
        <v>0.56797624774858635</v>
      </c>
      <c r="AC38" s="519">
        <f>IF(((D49+I49)*$B$2)&lt;=0,0,((D49+I49)*T38*$B$2))</f>
        <v>0.18229123982574438</v>
      </c>
      <c r="AD38" s="1004">
        <v>25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1013"/>
      <c r="V39" s="1013"/>
      <c r="W39" s="517"/>
      <c r="X39" s="1009"/>
      <c r="Y39" s="517"/>
      <c r="Z39" s="517"/>
      <c r="AA39" s="517">
        <f>AC39/AB38</f>
        <v>0.27468404780230737</v>
      </c>
      <c r="AB39" s="518"/>
      <c r="AC39" s="519">
        <f>RSD_Balance!J22</f>
        <v>0.15601401478714788</v>
      </c>
      <c r="AD39" s="1004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1011">
        <f>U14</f>
        <v>0.81941558441558437</v>
      </c>
      <c r="V40" s="1011">
        <f t="shared" si="7"/>
        <v>1.3941055573395788E-2</v>
      </c>
      <c r="W40" s="511">
        <v>20</v>
      </c>
      <c r="X40" s="509">
        <f t="shared" si="5"/>
        <v>0.7884000000000001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25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1015"/>
      <c r="V41" s="1015"/>
      <c r="W41" s="520"/>
      <c r="X41" s="1005"/>
      <c r="Y41" s="520"/>
      <c r="Z41" s="520"/>
      <c r="AA41" s="520"/>
      <c r="AB41" s="520"/>
      <c r="AC41" s="520"/>
      <c r="AD41" s="1006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1011">
        <f>U16</f>
        <v>0.81729411764705884</v>
      </c>
      <c r="V42" s="1011">
        <f t="shared" si="7"/>
        <v>1.1677713597494069E-2</v>
      </c>
      <c r="W42" s="511">
        <v>20</v>
      </c>
      <c r="X42" s="509">
        <f t="shared" ref="X42" si="8">31.536*(AD42/1000)</f>
        <v>0.7884000000000001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25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1015"/>
      <c r="V43" s="1015"/>
      <c r="W43" s="520"/>
      <c r="X43" s="1005"/>
      <c r="Y43" s="520"/>
      <c r="Z43" s="520"/>
      <c r="AA43" s="520"/>
      <c r="AB43" s="520"/>
      <c r="AC43" s="520"/>
      <c r="AD43" s="1006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1011">
        <f>U18</f>
        <v>0.5509294871794872</v>
      </c>
      <c r="V44" s="1011">
        <f t="shared" si="7"/>
        <v>1.3788861785020413E-2</v>
      </c>
      <c r="W44" s="511">
        <v>20</v>
      </c>
      <c r="X44" s="509">
        <f t="shared" ref="X44" si="9">31.536*(AD44/1000)</f>
        <v>0.7884000000000001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25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1015"/>
      <c r="V45" s="1015"/>
      <c r="W45" s="520"/>
      <c r="X45" s="1005"/>
      <c r="Y45" s="520"/>
      <c r="Z45" s="520"/>
      <c r="AA45" s="520"/>
      <c r="AB45" s="520"/>
      <c r="AC45" s="520"/>
      <c r="AD45" s="1006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1012">
        <f>U20</f>
        <v>0.57113772455089817</v>
      </c>
      <c r="V46" s="1013">
        <f>SUM(AB46:AB48)/S46/X46</f>
        <v>1.1808127750471777E-2</v>
      </c>
      <c r="W46" s="517">
        <v>20</v>
      </c>
      <c r="X46" s="1009">
        <f t="shared" ref="X46" si="10">31.536*(AD46/1000)</f>
        <v>0.7884000000000001</v>
      </c>
      <c r="Y46" s="695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1004">
        <v>25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1014"/>
      <c r="V47" s="1011"/>
      <c r="W47" s="511"/>
      <c r="X47" s="509"/>
      <c r="Y47" s="696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25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1012"/>
      <c r="V48" s="1013"/>
      <c r="W48" s="517"/>
      <c r="X48" s="1009"/>
      <c r="Y48" s="695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1004">
        <v>25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1011">
        <f>U23</f>
        <v>0.70400656814449913</v>
      </c>
      <c r="V49" s="1011">
        <f t="shared" ref="V49:V50" si="14">AB49/S49/X49</f>
        <v>1.3755627925516658E-2</v>
      </c>
      <c r="W49" s="511">
        <v>20</v>
      </c>
      <c r="X49" s="509">
        <f t="shared" ref="X49:X51" si="15">31.536*(AD49/1000)</f>
        <v>0.7884000000000001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25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1013">
        <f>U24</f>
        <v>0.60949973059968388</v>
      </c>
      <c r="V50" s="1013">
        <f t="shared" si="14"/>
        <v>9.7589168523886706E-4</v>
      </c>
      <c r="W50" s="517">
        <v>20</v>
      </c>
      <c r="X50" s="1009">
        <f t="shared" si="15"/>
        <v>0.7884000000000001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1004">
        <v>25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2.7897552870931479</v>
      </c>
      <c r="U51" s="1011">
        <v>1</v>
      </c>
      <c r="V51" s="1011">
        <f t="shared" ref="V51" si="16">AB51/S51/X51</f>
        <v>4.3644858301815873E-2</v>
      </c>
      <c r="W51" s="511">
        <v>20</v>
      </c>
      <c r="X51" s="509">
        <f t="shared" si="15"/>
        <v>0.7884000000000001</v>
      </c>
      <c r="Y51" s="511"/>
      <c r="Z51" s="511"/>
      <c r="AA51" s="511"/>
      <c r="AB51" s="512">
        <f>AC51*U51</f>
        <v>0.2636986099555837</v>
      </c>
      <c r="AC51" s="512">
        <f>RSD_Balance!J18</f>
        <v>0.2636986099555837</v>
      </c>
      <c r="AD51" s="511">
        <v>25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8.1768885840974672</v>
      </c>
      <c r="AC54" s="499">
        <f>SUM(AC31:AC52)</f>
        <v>9.7505806787124971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936</v>
      </c>
      <c r="AG55" s="34"/>
      <c r="AH55" s="686"/>
      <c r="AI55" s="686"/>
      <c r="AJ55" s="686"/>
      <c r="AK55" s="686"/>
      <c r="AL55" s="686"/>
      <c r="AM55" s="686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937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933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933</v>
      </c>
      <c r="M57" s="36" t="s">
        <v>260</v>
      </c>
      <c r="N57" s="36" t="s">
        <v>272</v>
      </c>
      <c r="O57" s="36" t="s">
        <v>262</v>
      </c>
      <c r="P57" s="36" t="s">
        <v>1011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1013</v>
      </c>
      <c r="AB57" s="44" t="s">
        <v>792</v>
      </c>
      <c r="AC57" s="48" t="s">
        <v>791</v>
      </c>
      <c r="AD57" s="48" t="s">
        <v>1014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946</v>
      </c>
      <c r="M58" s="37" t="s">
        <v>276</v>
      </c>
      <c r="N58" s="37" t="s">
        <v>277</v>
      </c>
      <c r="O58" s="37" t="s">
        <v>278</v>
      </c>
      <c r="P58" s="37" t="s">
        <v>1012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1018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1011">
        <v>0.4</v>
      </c>
      <c r="V59" s="1011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1017">
        <f>DwellingStocks!J38/1000</f>
        <v>766.35172099999977</v>
      </c>
      <c r="T60" s="513">
        <f>(S60*1000)/SUM(G54:G62)-0.188</f>
        <v>1.6588175598494301</v>
      </c>
      <c r="U60" s="1018">
        <v>0.6</v>
      </c>
      <c r="V60" s="1018">
        <f>AB60/S60/X60</f>
        <v>0.24100352965976166</v>
      </c>
      <c r="W60" s="1019">
        <v>15</v>
      </c>
      <c r="X60" s="1020">
        <f t="shared" si="17"/>
        <v>1.5768000000000002E-3</v>
      </c>
      <c r="Y60" s="1019"/>
      <c r="Z60" s="1019"/>
      <c r="AA60" s="1019"/>
      <c r="AB60" s="1021">
        <f>AC60*U60</f>
        <v>0.29122466305738604</v>
      </c>
      <c r="AC60" s="519">
        <f>(F54+F55+F56+F57+F58+F59+F60+F61+F62)*T60*$B$2</f>
        <v>0.48537443842897676</v>
      </c>
      <c r="AD60" s="1003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H2" zoomScale="60" zoomScaleNormal="60" workbookViewId="0">
      <selection activeCell="T38" sqref="T38"/>
    </sheetView>
    <sheetView workbookViewId="1"/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938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937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936</v>
      </c>
      <c r="AG3" s="34"/>
      <c r="AH3" s="686"/>
      <c r="AI3" s="686"/>
      <c r="AJ3" s="686"/>
      <c r="AK3" s="686"/>
      <c r="AL3" s="686"/>
      <c r="AM3" s="686"/>
      <c r="AN3" s="324"/>
      <c r="AO3" s="324"/>
      <c r="AP3" s="324"/>
      <c r="AQ3" s="324"/>
      <c r="AR3" s="324"/>
    </row>
    <row r="4" spans="1:44" ht="15" customHeight="1" thickBot="1">
      <c r="A4" s="324"/>
      <c r="B4" s="1094" t="s">
        <v>798</v>
      </c>
      <c r="C4" s="1095"/>
      <c r="D4" s="1095"/>
      <c r="E4" s="1095"/>
      <c r="F4" s="1095"/>
      <c r="G4" s="1096"/>
      <c r="H4" s="1094" t="s">
        <v>799</v>
      </c>
      <c r="I4" s="1095"/>
      <c r="J4" s="1096"/>
      <c r="K4" s="324"/>
      <c r="L4" s="36" t="s">
        <v>933</v>
      </c>
      <c r="M4" s="36" t="s">
        <v>260</v>
      </c>
      <c r="N4" s="36" t="s">
        <v>272</v>
      </c>
      <c r="O4" s="36" t="s">
        <v>262</v>
      </c>
      <c r="P4" s="36" t="s">
        <v>1011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1013</v>
      </c>
      <c r="AB4" s="44" t="s">
        <v>792</v>
      </c>
      <c r="AC4" s="48" t="s">
        <v>791</v>
      </c>
      <c r="AD4" s="48" t="s">
        <v>1014</v>
      </c>
      <c r="AE4" s="344"/>
      <c r="AF4" s="36" t="s">
        <v>266</v>
      </c>
      <c r="AG4" s="36" t="s">
        <v>933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946</v>
      </c>
      <c r="M5" s="37" t="s">
        <v>276</v>
      </c>
      <c r="N5" s="37" t="s">
        <v>277</v>
      </c>
      <c r="O5" s="37" t="s">
        <v>278</v>
      </c>
      <c r="P5" s="37" t="s">
        <v>1012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1016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1015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1011">
        <f>(G7+G14+G16)/300</f>
        <v>0.61986329460013678</v>
      </c>
      <c r="V7" s="1011">
        <f>AB7/S7/X7</f>
        <v>0.5673409421058726</v>
      </c>
      <c r="W7" s="511">
        <v>20</v>
      </c>
      <c r="X7" s="509">
        <f>31.536*(AD7/1000)</f>
        <v>0.7884000000000001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25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1012">
        <v>0.9</v>
      </c>
      <c r="V8" s="1013">
        <f>IFERROR(AB8/S8/X8,0)</f>
        <v>0</v>
      </c>
      <c r="W8" s="517">
        <v>20</v>
      </c>
      <c r="X8" s="1009">
        <f t="shared" ref="X8:X12" si="1">31.536*(AD8/1000)</f>
        <v>0.7884000000000001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1004">
        <v>25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1014">
        <v>0.9</v>
      </c>
      <c r="V9" s="1011">
        <f>IFERROR(AB9/S9/X9,0)</f>
        <v>0</v>
      </c>
      <c r="W9" s="511">
        <v>20</v>
      </c>
      <c r="X9" s="509">
        <f t="shared" si="1"/>
        <v>0.7884000000000001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1013">
        <f>(G10+G11)/200</f>
        <v>0.82661774762699336</v>
      </c>
      <c r="V10" s="1013">
        <f t="shared" ref="V10:V12" si="2">AB10/S10/X10</f>
        <v>8.5024956709859892E-2</v>
      </c>
      <c r="W10" s="517">
        <v>20</v>
      </c>
      <c r="X10" s="1009">
        <f t="shared" si="1"/>
        <v>0.7884000000000001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1004">
        <v>25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(0.55*SUM(E12+E25))/SUM($E$7:$E$25)</f>
        <v>3.7073693488725995E-2</v>
      </c>
      <c r="S11" s="508">
        <f>(R11)*DwellingStocks!$K$38/1000</f>
        <v>26.857285727066834</v>
      </c>
      <c r="T11" s="509">
        <f>(S11*1000)/(E25)*DwellingStocks!$V$37-0.118</f>
        <v>2.9222093107187921</v>
      </c>
      <c r="U11" s="1011">
        <f>(G25)/100</f>
        <v>0.99952095808383234</v>
      </c>
      <c r="V11" s="1011">
        <f t="shared" si="2"/>
        <v>6.0120370064106983E-2</v>
      </c>
      <c r="W11" s="511">
        <v>20</v>
      </c>
      <c r="X11" s="509">
        <f t="shared" si="1"/>
        <v>0.7884000000000001</v>
      </c>
      <c r="Y11" s="511"/>
      <c r="Z11" s="511"/>
      <c r="AA11" s="511"/>
      <c r="AB11" s="512">
        <f>AC11*U11</f>
        <v>1.2730057939637605</v>
      </c>
      <c r="AC11" s="512">
        <f>IF(((D25+I25)*T11*$B$2)&lt;=0,0,((D25+I25)*T11*$B$2))</f>
        <v>1.2736159093694464</v>
      </c>
      <c r="AD11" s="511">
        <v>25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(0.45*SUM(E12+E25))/SUM($E$7:$E$25)</f>
        <v>3.0333021945321271E-2</v>
      </c>
      <c r="S12" s="515">
        <f>R12*DwellingStocks!$K$38/1000</f>
        <v>21.974142867600136</v>
      </c>
      <c r="T12" s="516">
        <f>(S12*1000)/E12*DwellingStocks!$V$37-0.118</f>
        <v>1.2331908968136274</v>
      </c>
      <c r="U12" s="1013">
        <f>G12/100</f>
        <v>3.0897837837837834</v>
      </c>
      <c r="V12" s="1013">
        <f t="shared" si="2"/>
        <v>3.501875346961171E-2</v>
      </c>
      <c r="W12" s="517">
        <v>20</v>
      </c>
      <c r="X12" s="1009">
        <f t="shared" si="1"/>
        <v>0.7884000000000001</v>
      </c>
      <c r="Y12" s="517"/>
      <c r="Z12" s="517"/>
      <c r="AA12" s="517"/>
      <c r="AB12" s="518">
        <f>AC12*U12</f>
        <v>0.6066793911644891</v>
      </c>
      <c r="AC12" s="519">
        <f>IF(((D12+I12)*T12*$B$2)&lt;=0,0,((D12+I12)*T12*$B$2))</f>
        <v>0.19635011172902941</v>
      </c>
      <c r="AD12" s="1004">
        <v>25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1016"/>
      <c r="V13" s="1016"/>
      <c r="X13" s="1010"/>
      <c r="AA13" s="1001">
        <f>AC13/AB12</f>
        <v>0.27699359359001041</v>
      </c>
      <c r="AC13" s="1000">
        <f>RSD_Balance!H22</f>
        <v>0.16804630471565143</v>
      </c>
      <c r="AD13" s="1000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1011">
        <f>G13/100</f>
        <v>0.82280373831775711</v>
      </c>
      <c r="V14" s="1011">
        <f>AB14/S14/X14</f>
        <v>5.9134611842239483E-2</v>
      </c>
      <c r="W14" s="511">
        <v>20</v>
      </c>
      <c r="X14" s="509">
        <f>31.536*(AD14/1000)</f>
        <v>0.7884000000000001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25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1015"/>
      <c r="V15" s="1015"/>
      <c r="W15" s="520"/>
      <c r="X15" s="1005"/>
      <c r="Y15" s="520"/>
      <c r="Z15" s="520"/>
      <c r="AA15" s="520"/>
      <c r="AB15" s="520"/>
      <c r="AC15" s="520"/>
      <c r="AD15" s="1006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1011">
        <f>G15/100</f>
        <v>0.82728758169934635</v>
      </c>
      <c r="V16" s="1011">
        <f>AB16/S16/X16</f>
        <v>4.6982028361355288E-2</v>
      </c>
      <c r="W16" s="511">
        <v>20</v>
      </c>
      <c r="X16" s="509">
        <f>31.536*(AD16/1000)</f>
        <v>0.7884000000000001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25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1015"/>
      <c r="V17" s="1015"/>
      <c r="W17" s="520"/>
      <c r="X17" s="1005"/>
      <c r="Y17" s="520"/>
      <c r="Z17" s="520"/>
      <c r="AA17" s="520"/>
      <c r="AB17" s="520"/>
      <c r="AC17" s="520"/>
      <c r="AD17" s="1006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1011">
        <f>(G17+G18)/200</f>
        <v>0.5457894736842106</v>
      </c>
      <c r="V18" s="1011">
        <f>AB18/S18/X18</f>
        <v>0.12050425251988238</v>
      </c>
      <c r="W18" s="511">
        <v>20</v>
      </c>
      <c r="X18" s="509">
        <f>31.536*(AD18/1000)</f>
        <v>0.7884000000000001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25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1015"/>
      <c r="V19" s="1015"/>
      <c r="W19" s="520"/>
      <c r="X19" s="1005"/>
      <c r="Y19" s="520"/>
      <c r="Z19" s="520"/>
      <c r="AA19" s="520"/>
      <c r="AB19" s="520"/>
      <c r="AC19" s="520"/>
      <c r="AD19" s="1006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1012">
        <f>G19/100</f>
        <v>0.61474226804123711</v>
      </c>
      <c r="V20" s="1013">
        <f>SUM(AB20:AB22)/S20/X20</f>
        <v>0.16465051297265221</v>
      </c>
      <c r="W20" s="517">
        <v>20</v>
      </c>
      <c r="X20" s="1009">
        <f>31.536*(AD20/1000)</f>
        <v>0.7884000000000001</v>
      </c>
      <c r="Y20" s="695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1004">
        <v>25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1014"/>
      <c r="V21" s="1011"/>
      <c r="W21" s="511"/>
      <c r="X21" s="509"/>
      <c r="Y21" s="696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25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1012"/>
      <c r="V22" s="1013"/>
      <c r="W22" s="517"/>
      <c r="X22" s="1009"/>
      <c r="Y22" s="695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1004">
        <v>25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1011">
        <f>(G21+G22+G23)/300</f>
        <v>0.72928609692169366</v>
      </c>
      <c r="V23" s="1011">
        <f>AB23/S23/X23</f>
        <v>0.11561876025380584</v>
      </c>
      <c r="W23" s="511">
        <v>20</v>
      </c>
      <c r="X23" s="509">
        <f t="shared" ref="X23:X24" si="3">31.536*(AD23/1000)</f>
        <v>0.7884000000000001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25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1013">
        <f>G24/100</f>
        <v>0.65865731206453049</v>
      </c>
      <c r="V24" s="1013">
        <f>AB24/S24/X24</f>
        <v>0.24099011008044641</v>
      </c>
      <c r="W24" s="517">
        <v>20</v>
      </c>
      <c r="X24" s="1009">
        <f t="shared" si="3"/>
        <v>0.7884000000000001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1004">
        <v>25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37.335697603644185</v>
      </c>
      <c r="AC27" s="499">
        <f>SUM(AC6:AC25)</f>
        <v>47.370092373989934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4" t="s">
        <v>798</v>
      </c>
      <c r="C28" s="1095"/>
      <c r="D28" s="1095"/>
      <c r="E28" s="1095"/>
      <c r="F28" s="1095"/>
      <c r="G28" s="1096"/>
      <c r="H28" s="1094" t="s">
        <v>799</v>
      </c>
      <c r="I28" s="1095"/>
      <c r="J28" s="1096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1007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937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936</v>
      </c>
      <c r="AG29" s="34"/>
      <c r="AH29" s="686"/>
      <c r="AI29" s="686"/>
      <c r="AJ29" s="686"/>
      <c r="AK29" s="686"/>
      <c r="AL29" s="686"/>
      <c r="AM29" s="686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933</v>
      </c>
      <c r="M30" s="36" t="s">
        <v>260</v>
      </c>
      <c r="N30" s="36" t="s">
        <v>272</v>
      </c>
      <c r="O30" s="36" t="s">
        <v>262</v>
      </c>
      <c r="P30" s="36" t="s">
        <v>1011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1013</v>
      </c>
      <c r="AB30" s="44" t="s">
        <v>792</v>
      </c>
      <c r="AC30" s="48" t="s">
        <v>791</v>
      </c>
      <c r="AD30" s="48" t="s">
        <v>1014</v>
      </c>
      <c r="AE30" s="324"/>
      <c r="AF30" s="36" t="s">
        <v>266</v>
      </c>
      <c r="AG30" s="36" t="s">
        <v>933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946</v>
      </c>
      <c r="M31" s="37" t="s">
        <v>276</v>
      </c>
      <c r="N31" s="37" t="s">
        <v>277</v>
      </c>
      <c r="O31" s="37" t="s">
        <v>278</v>
      </c>
      <c r="P31" s="37" t="s">
        <v>1012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1015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1011">
        <f>U7</f>
        <v>0.61986329460013678</v>
      </c>
      <c r="V33" s="1011">
        <f>IFERROR(AB33/S33/X33,0)</f>
        <v>2.3205860842012042E-2</v>
      </c>
      <c r="W33" s="511">
        <v>20</v>
      </c>
      <c r="X33" s="509">
        <f t="shared" ref="X33:X40" si="4">31.536*(AD33/1000)</f>
        <v>0.7884000000000001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25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1012">
        <v>0.9</v>
      </c>
      <c r="V34" s="1013">
        <f>AB34/S34/X34</f>
        <v>1.3545205479452054E-2</v>
      </c>
      <c r="W34" s="517">
        <v>20</v>
      </c>
      <c r="X34" s="1009">
        <f t="shared" si="4"/>
        <v>0.7884000000000001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1004">
        <v>25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1014">
        <v>0.9</v>
      </c>
      <c r="V35" s="1011">
        <f>IFERROR(AB35/S35/X35,0)</f>
        <v>1.5343150684931505E-2</v>
      </c>
      <c r="W35" s="511">
        <v>20</v>
      </c>
      <c r="X35" s="509">
        <f t="shared" si="4"/>
        <v>0.7884000000000001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25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1013">
        <f>U10</f>
        <v>0.82661774762699336</v>
      </c>
      <c r="V36" s="1013">
        <f t="shared" ref="V36:V44" si="6">AB36/S36/X36</f>
        <v>2.2012003113964566E-2</v>
      </c>
      <c r="W36" s="517">
        <v>20</v>
      </c>
      <c r="X36" s="1009">
        <f t="shared" si="4"/>
        <v>0.7884000000000001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1004">
        <v>25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(0.55*SUM(E36+E49))/SUM($E$31:$E$49)-($R$51/7)</f>
        <v>3.5872191465479521E-2</v>
      </c>
      <c r="S37" s="508">
        <f>R37*DwellingStocks!$K$38/1000</f>
        <v>25.98688194197344</v>
      </c>
      <c r="T37" s="509">
        <f>IFERROR((S37*1000)/E49,0)-0.118</f>
        <v>4.0075567458284551</v>
      </c>
      <c r="U37" s="1011">
        <f>U11</f>
        <v>0.99952095808383234</v>
      </c>
      <c r="V37" s="1011">
        <f t="shared" si="6"/>
        <v>1.5906730020439529E-2</v>
      </c>
      <c r="W37" s="511">
        <v>20</v>
      </c>
      <c r="X37" s="509">
        <f t="shared" si="4"/>
        <v>0.7884000000000001</v>
      </c>
      <c r="Y37" s="511"/>
      <c r="Z37" s="511"/>
      <c r="AA37" s="511"/>
      <c r="AB37" s="512">
        <f>AC37*U37</f>
        <v>0.32589800284376702</v>
      </c>
      <c r="AC37" s="512">
        <f>IF(((D49+I49)*$B$2)&lt;=0,0,((D49+I49)*T37*$B$2))</f>
        <v>0.3260541964708189</v>
      </c>
      <c r="AD37" s="511">
        <v>25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(0.45*SUM(E36+E49)/SUM($E$31:$E$49)-($R$51/7))</f>
        <v>2.9090234575652074E-2</v>
      </c>
      <c r="S38" s="515">
        <f>R38*DwellingStocks!$K$38/1000</f>
        <v>21.073830750186062</v>
      </c>
      <c r="T38" s="516">
        <f>IFERROR((S38*1000)/E36,0)-0.118</f>
        <v>1.7105319522938016</v>
      </c>
      <c r="U38" s="1013">
        <f>U12</f>
        <v>3.0897837837837834</v>
      </c>
      <c r="V38" s="1013">
        <f t="shared" si="6"/>
        <v>2.5880895001537937E-2</v>
      </c>
      <c r="W38" s="517">
        <v>20</v>
      </c>
      <c r="X38" s="1009">
        <f t="shared" si="4"/>
        <v>0.7884000000000001</v>
      </c>
      <c r="Y38" s="517"/>
      <c r="Z38" s="517"/>
      <c r="AA38" s="517"/>
      <c r="AB38" s="518">
        <f>AC38*U38</f>
        <v>0.4300009293698589</v>
      </c>
      <c r="AC38" s="519">
        <f>IF(((D49+I49)*$B$2)&lt;=0,0,((D49+I49)*T38*$B$2))</f>
        <v>0.1391686148482775</v>
      </c>
      <c r="AD38" s="1004">
        <v>25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1013"/>
      <c r="V39" s="1013"/>
      <c r="W39" s="517"/>
      <c r="X39" s="1009"/>
      <c r="Y39" s="517"/>
      <c r="Z39" s="517"/>
      <c r="AA39" s="517">
        <f>AC39/AB38</f>
        <v>0.27699359359001036</v>
      </c>
      <c r="AB39" s="518"/>
      <c r="AC39" s="519">
        <f>RSD_Balance!K22</f>
        <v>0.11910750267320144</v>
      </c>
      <c r="AD39" s="1004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1011">
        <f>U14</f>
        <v>0.82280373831775711</v>
      </c>
      <c r="V40" s="1011">
        <f t="shared" si="6"/>
        <v>1.717050338163471E-2</v>
      </c>
      <c r="W40" s="511">
        <v>20</v>
      </c>
      <c r="X40" s="509">
        <f t="shared" si="4"/>
        <v>0.7884000000000001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25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1015"/>
      <c r="V41" s="1015"/>
      <c r="W41" s="520"/>
      <c r="X41" s="1005"/>
      <c r="Y41" s="520"/>
      <c r="Z41" s="520"/>
      <c r="AA41" s="520"/>
      <c r="AB41" s="520"/>
      <c r="AC41" s="520"/>
      <c r="AD41" s="1006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1011">
        <f>U16</f>
        <v>0.82728758169934635</v>
      </c>
      <c r="V42" s="1011">
        <f t="shared" si="6"/>
        <v>1.5035273157845329E-2</v>
      </c>
      <c r="W42" s="511">
        <v>20</v>
      </c>
      <c r="X42" s="509">
        <f t="shared" ref="X42" si="7">31.536*(AD42/1000)</f>
        <v>0.7884000000000001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25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1015"/>
      <c r="V43" s="1015"/>
      <c r="W43" s="520"/>
      <c r="X43" s="1005"/>
      <c r="Y43" s="520"/>
      <c r="Z43" s="520"/>
      <c r="AA43" s="520"/>
      <c r="AB43" s="520"/>
      <c r="AC43" s="520"/>
      <c r="AD43" s="1006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1.9885319522938014</v>
      </c>
      <c r="U44" s="1011">
        <f>U18</f>
        <v>0.5457894736842106</v>
      </c>
      <c r="V44" s="1011">
        <f t="shared" si="6"/>
        <v>1.1146399379991772E-2</v>
      </c>
      <c r="W44" s="511">
        <v>20</v>
      </c>
      <c r="X44" s="509">
        <f t="shared" ref="X44" si="8">31.536*(AD44/1000)</f>
        <v>0.7884000000000001</v>
      </c>
      <c r="Y44" s="511"/>
      <c r="Z44" s="511"/>
      <c r="AA44" s="511"/>
      <c r="AB44" s="512">
        <f>AC44*U44</f>
        <v>1.9184589592422054E-2</v>
      </c>
      <c r="AC44" s="512">
        <f>IF(((D41+I41+D42+I42)*$B$2)&lt;=0,0,((D41+I41+D42+I42)*T44*$B$2))</f>
        <v>3.5150164151978684E-2</v>
      </c>
      <c r="AD44" s="511">
        <v>25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1015"/>
      <c r="V45" s="1015"/>
      <c r="W45" s="520"/>
      <c r="X45" s="1005"/>
      <c r="Y45" s="520"/>
      <c r="Z45" s="520"/>
      <c r="AA45" s="520"/>
      <c r="AB45" s="520"/>
      <c r="AC45" s="520"/>
      <c r="AD45" s="1006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1012">
        <f>U20</f>
        <v>0.61474226804123711</v>
      </c>
      <c r="V46" s="1013">
        <f>SUM(AB46:AB48)/S46/X46</f>
        <v>1.4316024530344031E-2</v>
      </c>
      <c r="W46" s="517">
        <v>20</v>
      </c>
      <c r="X46" s="1009">
        <f t="shared" ref="X46" si="9">31.536*(AD46/1000)</f>
        <v>0.7884000000000001</v>
      </c>
      <c r="Y46" s="695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1004">
        <v>25</v>
      </c>
      <c r="AE46" s="700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1014"/>
      <c r="V47" s="1011"/>
      <c r="W47" s="511"/>
      <c r="X47" s="509"/>
      <c r="Y47" s="696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25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1012"/>
      <c r="V48" s="1013"/>
      <c r="W48" s="517"/>
      <c r="X48" s="1009"/>
      <c r="Y48" s="695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1004">
        <v>25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1011">
        <f>U23</f>
        <v>0.72928609692169366</v>
      </c>
      <c r="V49" s="1011">
        <f t="shared" ref="V49:V50" si="13">AB49/S49/X49</f>
        <v>1.8495641261436577E-2</v>
      </c>
      <c r="W49" s="511">
        <v>20</v>
      </c>
      <c r="X49" s="509">
        <f t="shared" ref="X49:X51" si="14">31.536*(AD49/1000)</f>
        <v>0.7884000000000001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25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1013">
        <f>U24</f>
        <v>0.65865731206453049</v>
      </c>
      <c r="V50" s="1013">
        <f t="shared" si="13"/>
        <v>1.6330345396658942E-3</v>
      </c>
      <c r="W50" s="517">
        <v>20</v>
      </c>
      <c r="X50" s="1009">
        <f t="shared" si="14"/>
        <v>0.7884000000000001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1004">
        <v>25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4.0075567458284551</v>
      </c>
      <c r="U51" s="1011">
        <v>1</v>
      </c>
      <c r="V51" s="1011">
        <f>AB51/S51/X51</f>
        <v>4.6408942067286733E-2</v>
      </c>
      <c r="W51" s="511">
        <v>20</v>
      </c>
      <c r="X51" s="509">
        <f t="shared" si="14"/>
        <v>0.7884000000000001</v>
      </c>
      <c r="Y51" s="511"/>
      <c r="Z51" s="511"/>
      <c r="AA51" s="511"/>
      <c r="AB51" s="512">
        <f>AC51*U51</f>
        <v>0.265060216590152</v>
      </c>
      <c r="AC51" s="512">
        <f>RSD_Balance!K18</f>
        <v>0.265060216590152</v>
      </c>
      <c r="AD51" s="511">
        <v>25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9.8966037440670949</v>
      </c>
      <c r="AC54" s="499">
        <f>SUM(AC31:AC52)</f>
        <v>11.800759490154654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936</v>
      </c>
      <c r="AG55" s="34"/>
      <c r="AH55" s="686"/>
      <c r="AI55" s="686"/>
      <c r="AJ55" s="686"/>
      <c r="AK55" s="686"/>
      <c r="AL55" s="686"/>
      <c r="AM55" s="686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937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933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933</v>
      </c>
      <c r="M57" s="36" t="s">
        <v>260</v>
      </c>
      <c r="N57" s="36" t="s">
        <v>272</v>
      </c>
      <c r="O57" s="36" t="s">
        <v>262</v>
      </c>
      <c r="P57" s="36" t="s">
        <v>1011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1013</v>
      </c>
      <c r="AB57" s="44" t="s">
        <v>792</v>
      </c>
      <c r="AC57" s="48" t="s">
        <v>791</v>
      </c>
      <c r="AD57" s="48" t="s">
        <v>1014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946</v>
      </c>
      <c r="M58" s="37" t="s">
        <v>276</v>
      </c>
      <c r="N58" s="37" t="s">
        <v>277</v>
      </c>
      <c r="O58" s="37" t="s">
        <v>278</v>
      </c>
      <c r="P58" s="37" t="s">
        <v>1012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1018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1011">
        <v>0.4</v>
      </c>
      <c r="V59" s="1011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1017">
        <f>DwellingStocks!K38/1000</f>
        <v>724.42972899999995</v>
      </c>
      <c r="T60" s="513">
        <f>(S60*1000)/SUM(G54:G62)-0.188</f>
        <v>2.540641381440425</v>
      </c>
      <c r="U60" s="1018">
        <v>0.6</v>
      </c>
      <c r="V60" s="1018">
        <f t="shared" ref="V60" si="16">AB60/S60/X60</f>
        <v>0.29839165082681329</v>
      </c>
      <c r="W60" s="1019">
        <v>15</v>
      </c>
      <c r="X60" s="1020">
        <f t="shared" si="15"/>
        <v>1.5768000000000002E-3</v>
      </c>
      <c r="Y60" s="1019"/>
      <c r="Z60" s="1019"/>
      <c r="AA60" s="1019"/>
      <c r="AB60" s="1021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1003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79" t="s">
        <v>459</v>
      </c>
      <c r="B1" s="1079"/>
      <c r="C1" s="1079"/>
      <c r="D1" s="1079"/>
      <c r="E1" s="1079"/>
      <c r="F1" s="1079"/>
      <c r="G1" s="1079"/>
      <c r="H1" s="1079"/>
      <c r="I1" s="1079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79" t="s">
        <v>526</v>
      </c>
      <c r="B1" s="1079"/>
      <c r="C1" s="1079"/>
      <c r="D1" s="1079"/>
      <c r="E1" s="1079"/>
      <c r="F1" s="1079"/>
      <c r="G1" s="1079"/>
      <c r="H1" s="1079"/>
      <c r="I1" s="107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79" t="s">
        <v>528</v>
      </c>
      <c r="B1" s="1079"/>
      <c r="C1" s="1079"/>
      <c r="D1" s="1079"/>
      <c r="E1" s="1079"/>
      <c r="F1" s="1079"/>
      <c r="G1" s="1079"/>
      <c r="H1" s="1079"/>
      <c r="I1" s="107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2021-03-25T16:08:24Z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404484570026397</vt:r8>
  </property>
</Properties>
</file>