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922E7316-782B-4DE4-B4EE-AB452A44D4B1}" xr6:coauthVersionLast="47" xr6:coauthVersionMax="47" xr10:uidLastSave="{00000000-0000-0000-0000-000000000000}"/>
  <bookViews>
    <workbookView xWindow="4416" yWindow="17172" windowWidth="23256" windowHeight="13176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4" l="1"/>
  <c r="H30" i="4"/>
  <c r="H29" i="4"/>
  <c r="H28" i="4"/>
  <c r="H27" i="4"/>
  <c r="G27" i="4"/>
  <c r="G28" i="4"/>
  <c r="G29" i="4"/>
  <c r="G30" i="4"/>
  <c r="G26" i="4"/>
  <c r="G31" i="4"/>
  <c r="H36" i="4"/>
  <c r="H35" i="4"/>
  <c r="H34" i="4"/>
  <c r="H33" i="4"/>
  <c r="J6" i="1"/>
  <c r="N3" i="4"/>
  <c r="B10" i="1"/>
  <c r="J10" i="1"/>
  <c r="N10" i="1"/>
  <c r="J9" i="1"/>
  <c r="N9" i="1"/>
  <c r="B9" i="1"/>
  <c r="G35" i="4"/>
  <c r="G36" i="4"/>
  <c r="G33" i="4"/>
  <c r="G34" i="4"/>
  <c r="B7" i="7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18" i="7"/>
  <c r="F18" i="7"/>
  <c r="G36" i="8"/>
  <c r="F36" i="8"/>
  <c r="G23" i="5"/>
  <c r="F23" i="5"/>
  <c r="G19" i="7"/>
  <c r="H37" i="8"/>
  <c r="G37" i="8"/>
  <c r="H24" i="5"/>
  <c r="G24" i="5"/>
  <c r="L10" i="1" l="1"/>
  <c r="L6" i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32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 s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D57" i="1" s="1"/>
  <c r="E57" i="1" s="1"/>
  <c r="F57" i="1" s="1"/>
  <c r="G57" i="1" s="1"/>
  <c r="H57" i="1" s="1"/>
  <c r="I57" i="1" s="1"/>
  <c r="J57" i="1" s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<sst xmlns="http://schemas.openxmlformats.org/spreadsheetml/2006/main" count="569" uniqueCount="251">
  <si>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</si>
  <si>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</si>
  <si>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</si>
  <si>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</si>
  <si>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</si>
  <si>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</si>
  <si>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</si>
  <si>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</si>
  <si>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</si>
  <si>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</si>
  <si>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</si>
  <si>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</si>
  <si>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</si>
  <si>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</si>
  <si>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</si>
  <si>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</si>
  <si>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</si>
  <si>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</si>
  <si>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</si>
  <si>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</si>
  <si>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</si>
  <si>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</si>
  <si>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</si>
  <si>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</si>
  <si>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</si>
  <si>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</si>
  <si>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</si>
  <si>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</si>
  <si>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</si>
  <si>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</si>
  <si>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</si>
  <si>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</si>
  <si>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</si>
  <si>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</si>
  <si>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</si>
  <si>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</si>
  <si>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</si>
  <si>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</si>
  <si>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</si>
  <si>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</si>
  <si>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</si>
  <si>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</si>
  <si>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</si>
  <si>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</si>
  <si>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</si>
  <si>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</si>
  <si>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</si>
  <si>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</si>
  <si>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</si>
  <si>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</si>
  <si>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</si>
  <si>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</si>
  <si>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</si>
  <si>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</si>
  <si>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</si>
  <si>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</si>
  <si>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</si>
  <si>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</si>
  <si>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</si>
  <si>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</si>
  <si>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</si>
  <si>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</si>
  <si>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</si>
  <si>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</si>
  <si>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</si>
  <si>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</si>
  <si>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</si>
  <si>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</si>
  <si>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</si>
  <si>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</si>
  <si>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</si>
  <si>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</si>
  <si>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</si>
  <si>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</si>
  <si>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</si>
  <si>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</si>
  <si>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</si>
  <si>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</si>
  <si>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</si>
  <si>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</si>
  <si>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</si>
  <si>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</si>
  <si>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</si>
  <si>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</si>
  <si>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</si>
  <si>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</si>
  <si>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</si>
  <si>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</si>
  <si>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</si>
  <si>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</si>
  <si>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</si>
  <si>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</si>
  <si>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</si>
  <si>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</si>
  <si>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</si>
  <si>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</si>
  <si>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</si>
  <si>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</si>
  <si>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</si>
  <si>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</si>
  <si>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</si>
  <si>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</si>
  <si>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</si>
  <si>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</si>
  <si>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</si>
  <si>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</si>
  <si>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</si>
  <si>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</si>
  <si>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</si>
  <si>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</si>
  <si>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</si>
  <si>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</si>
  <si>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</si>
  <si>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</si>
  <si>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</si>
  <si>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</si>
  <si>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</si>
  <si>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</si>
  <si>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</si>
  <si>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</si>
  <si>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</si>
  <si>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</si>
  <si>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</si>
  <si>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</si>
  <si>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</si>
  <si>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</si>
  <si>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</si>
  <si>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</si>
  <si>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</si>
  <si>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</si>
  <si>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</si>
  <si>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</si>
  <si>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</si>
  <si>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</si>
  <si>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</si>
  <si>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</si>
  <si>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</si>
  <si>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</si>
  <si>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</si>
  <si>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</si>
  <si>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</si>
  <si>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</si>
  <si>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</si>
  <si>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</si>
  <si>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</si>
  <si>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</si>
  <si>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</si>
  <si>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</si>
  <si>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</si>
  <si>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</si>
  <si>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</si>
  <si>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</si>
  <si>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</si>
  <si>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</si>
  <si>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</si>
  <si>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</si>
  <si>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</si>
  <si>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</si>
  <si>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</si>
  <si>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</si>
  <si>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</si>
  <si>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</si>
  <si>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</si>
  <si>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</si>
  <si>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</si>
  <si>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</si>
  <si>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</si>
  <si>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</si>
  <si>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</si>
  <si>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</si>
  <si>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</si>
  <si>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</si>
  <si>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</si>
  <si>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</si>
  <si>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</si>
  <si>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</si>
  <si>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</si>
  <si>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</si>
  <si>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</si>
  <si>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</si>
  <si>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</si>
  <si>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</si>
  <si>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</si>
  <si>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</si>
  <si>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</si>
  <si>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</si>
  <si>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</si>
  <si>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</si>
  <si>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</si>
  <si>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</si>
  <si>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</si>
  <si>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</si>
  <si>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</si>
  <si>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</si>
  <si>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</si>
  <si>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</si>
  <si>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</si>
  <si>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</si>
  <si>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</si>
  <si>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</si>
  <si>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</si>
  <si>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</si>
  <si>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</si>
  <si>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</si>
  <si>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</si>
  <si>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</si>
  <si>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</si>
  <si>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</si>
  <si>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</si>
  <si>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</si>
  <si>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</si>
  <si>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</si>
  <si>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</si>
  <si>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</si>
  <si>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</si>
  <si>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</si>
  <si>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</si>
  <si>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</si>
  <si>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</si>
  <si>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</si>
  <si>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</si>
  <si>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</si>
  <si>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</si>
  <si>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</si>
  <si>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</si>
  <si>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</si>
  <si>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</si>
  <si>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</si>
  <si>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</si>
  <si>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</si>
  <si>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</si>
  <si>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</si>
  <si>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</si>
  <si>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</si>
  <si>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</si>
  <si>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</si>
  <si>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</si>
  <si>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</si>
  <si>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</si>
  <si>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</si>
  <si>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</si>
  <si>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</si>
  <si>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</si>
  <si>
    <t>https://cms.eirgrid.ie/sites/default/files/publications/19035-EirGrid-Generation-Capacity-Statement-Combined-2023-V5-Jan-2024.pdf</t>
  </si>
  <si>
    <t>Installed Capacity (MW)</t>
  </si>
  <si>
    <t>Wind</t>
  </si>
  <si>
    <t>4,536 </t>
  </si>
  <si>
    <t>Solar PV (AC)</t>
  </si>
  <si>
    <t>201 </t>
  </si>
  <si>
    <t>237 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</si>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</sst>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4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0000"/>
      <name val="Calibri"/>
    </font>
    <font>
      <sz val="10"/>
      <name val="Arial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11"/>
      <color rgb="FF242424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22" fillId="0" borderId="0"/>
    <xf numFmtId="0" fontId="6" fillId="0" borderId="0"/>
    <xf numFmtId="0" fontId="23" fillId="0" borderId="0"/>
    <xf numFmtId="49" fontId="24" fillId="0" borderId="4" applyNumberFormat="0" applyFont="0" applyFill="0" applyBorder="0" applyProtection="0">
      <alignment horizontal="left" vertical="center" indent="2"/>
    </xf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 applyBorder="0"/>
    <xf numFmtId="0" fontId="2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42" fillId="0" borderId="0" xfId="0" applyFont="1"/>
    <xf numFmtId="0" fontId="8" fillId="0" borderId="0" xfId="0" applyFont="1"/>
    <xf numFmtId="166" fontId="42" fillId="0" borderId="0" xfId="0" applyNumberFormat="1" applyFont="1"/>
    <xf numFmtId="0" fontId="42" fillId="0" borderId="1" xfId="0" applyFont="1" applyBorder="1"/>
    <xf numFmtId="166" fontId="42" fillId="0" borderId="1" xfId="0" applyNumberFormat="1" applyFont="1" applyBorder="1"/>
    <xf numFmtId="0" fontId="8" fillId="0" borderId="1" xfId="0" applyFont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0" fontId="44" fillId="42" borderId="0" xfId="0" applyFont="1" applyFill="1" applyAlignment="1">
      <alignment vertical="center" wrapText="1"/>
    </xf>
    <xf numFmtId="0" fontId="43" fillId="42" borderId="0" xfId="0" applyFont="1" applyFill="1" applyAlignment="1">
      <alignment vertical="center" wrapText="1"/>
    </xf>
    <xf numFmtId="0" fontId="44" fillId="42" borderId="0" xfId="0" applyFont="1" applyFill="1" applyAlignment="1">
      <alignment horizontal="right" wrapText="1"/>
    </xf>
    <xf numFmtId="0" fontId="43" fillId="42" borderId="0" xfId="0" applyFont="1" applyFill="1" applyAlignment="1">
      <alignment horizontal="right" wrapText="1"/>
    </xf>
    <xf numFmtId="3" fontId="43" fillId="42" borderId="0" xfId="0" applyNumberFormat="1" applyFont="1" applyFill="1" applyAlignment="1">
      <alignment horizontal="right" wrapText="1"/>
    </xf>
  </cellXfs>
  <cellStyles count="57">
    <cellStyle name="20% - Accent1 2" xfId="33" xr:uid="{FC694C30-76D8-4575-889F-99633FA30215}"/>
    <cellStyle name="20% - Accent2 2" xfId="37" xr:uid="{DEBC75F0-1B63-416C-8B7B-25A99EE11CE7}"/>
    <cellStyle name="20% - Accent3 2" xfId="41" xr:uid="{D6B9BA5A-4558-4ABD-BF2F-91F9632B2C08}"/>
    <cellStyle name="20% - Accent4 2" xfId="45" xr:uid="{C9A05868-4814-4214-98D5-5480DB76A1B4}"/>
    <cellStyle name="20% - Accent5 2" xfId="49" xr:uid="{9DE3245B-B1C4-4B1F-8EF0-66247B1ABFBB}"/>
    <cellStyle name="20% - Accent6 2" xfId="53" xr:uid="{BCA2D2E5-DB5A-40DF-9F9C-785A4803F597}"/>
    <cellStyle name="2x indented GHG Textfiels" xfId="9" xr:uid="{D0C17221-34A3-4716-916B-72854470CFDB}"/>
    <cellStyle name="40% - Accent1 2" xfId="34" xr:uid="{33F8AE58-1D68-447A-8D18-B0B63C296934}"/>
    <cellStyle name="40% - Accent2 2" xfId="38" xr:uid="{C3A6814A-FFAC-41D1-92D5-2BA462012800}"/>
    <cellStyle name="40% - Accent3 2" xfId="42" xr:uid="{8487459B-422C-48B3-A93F-B83BFD677A46}"/>
    <cellStyle name="40% - Accent4 2" xfId="46" xr:uid="{D033AE11-9A40-4574-97A5-5345B6EF802B}"/>
    <cellStyle name="40% - Accent5 2" xfId="50" xr:uid="{3B1437A4-9326-4AE7-9A8A-C48B0434B60B}"/>
    <cellStyle name="40% - Accent6 2" xfId="54" xr:uid="{1931FCB7-D830-4572-AF78-A0FDC87DADA5}"/>
    <cellStyle name="60% - Accent1 2" xfId="35" xr:uid="{8B5E4987-D6E4-4DE9-886B-02DC92F01CFC}"/>
    <cellStyle name="60% - Accent2 2" xfId="39" xr:uid="{0A554AD3-17AD-4D6B-AFA8-8A99F561451D}"/>
    <cellStyle name="60% - Accent3 2" xfId="43" xr:uid="{7751A97A-FA3C-4369-ADA8-50478C61C136}"/>
    <cellStyle name="60% - Accent4 2" xfId="47" xr:uid="{C19FEA97-C799-481D-8E72-8FCF88F6A1AA}"/>
    <cellStyle name="60% - Accent5 2" xfId="51" xr:uid="{30353573-67F6-4FB1-BE4F-2FFA06DD0592}"/>
    <cellStyle name="60% - Accent6 2" xfId="55" xr:uid="{10F7CCB2-2B77-4512-90B0-0E8E0E950128}"/>
    <cellStyle name="Accent2 2" xfId="36" xr:uid="{EECEA76A-133B-4F12-89F1-370E1CDB2B0B}"/>
    <cellStyle name="Accent3 2" xfId="40" xr:uid="{ABB4FBD5-5682-4F7C-97B3-81015C8D8540}"/>
    <cellStyle name="Accent4 2" xfId="44" xr:uid="{CC7C30D0-3133-4CF9-91B4-BFEEEF18AE0C}"/>
    <cellStyle name="Accent5 2" xfId="48" xr:uid="{03E3816F-13D8-4835-A983-08D87F391462}"/>
    <cellStyle name="Accent6 2" xfId="52" xr:uid="{E9BC7EE5-A13A-43A5-9016-6D7E44C54211}"/>
    <cellStyle name="Bad 2" xfId="23" xr:uid="{641428C3-66B8-4FC0-B397-B551A0D77520}"/>
    <cellStyle name="Calculation 2" xfId="27" xr:uid="{697A615C-D18E-4B88-8137-66883A105C6A}"/>
    <cellStyle name="Check Cell 2" xfId="29" xr:uid="{746BDB71-C048-4601-9E6F-BB225D1970CE}"/>
    <cellStyle name="Comma" xfId="1" builtinId="3"/>
    <cellStyle name="Comma 2" xfId="10" xr:uid="{0E115E46-B7D0-4FC1-A220-96B967F76E01}"/>
    <cellStyle name="Comma 2 2" xfId="14" xr:uid="{D2B70020-FAC1-46B9-B22D-5CAF548179AC}"/>
    <cellStyle name="Comma 2 3" xfId="15" xr:uid="{1684DEA8-C01D-454C-82AF-7ADA96868629}"/>
    <cellStyle name="Comma 3" xfId="16" xr:uid="{89442CFC-4647-469E-9523-5BE836E6615D}"/>
    <cellStyle name="Comma 4" xfId="56" xr:uid="{EB76B039-3B36-4BA8-B399-79E3810E2A6A}"/>
    <cellStyle name="Comma 5" xfId="5" xr:uid="{8ADFB719-C353-42CE-A437-E50CBCACC909}"/>
    <cellStyle name="Explanatory Text 2" xfId="31" xr:uid="{BD293568-0570-4A0B-8869-78722C1C0AA5}"/>
    <cellStyle name="Good 2" xfId="22" xr:uid="{2EFFD2A4-92C8-4708-8DC7-0A8BC4695734}"/>
    <cellStyle name="Heading 1 2" xfId="18" xr:uid="{3DFEE4E3-57E5-4472-B82A-372C630BA3F8}"/>
    <cellStyle name="Heading 2 2" xfId="19" xr:uid="{0496AA8C-43E9-495A-A81D-900FBE359C69}"/>
    <cellStyle name="Heading 3 2" xfId="20" xr:uid="{3C781DE3-3599-4CC6-94D6-7EE6CE272477}"/>
    <cellStyle name="Heading 4 2" xfId="21" xr:uid="{1DD214B1-AEEA-4813-8225-60300C06E540}"/>
    <cellStyle name="Hyperlink" xfId="3" builtinId="8"/>
    <cellStyle name="Input 2" xfId="25" xr:uid="{A4AB368D-791A-4BD8-9359-1EAED11788F9}"/>
    <cellStyle name="Linked Cell 2" xfId="28" xr:uid="{4435169C-F266-44A8-B7B3-0878139822A9}"/>
    <cellStyle name="Neutral 2" xfId="24" xr:uid="{4F864AD7-34C5-421E-8B85-30E268FDC5F6}"/>
    <cellStyle name="Normal" xfId="0" builtinId="0"/>
    <cellStyle name="Normal 2" xfId="4" xr:uid="{8AFBBF0B-C464-4F31-9D17-7061E47C41A1}"/>
    <cellStyle name="Normal 2 2" xfId="13" xr:uid="{E8C26CE0-3E6B-4F15-B642-AEE8ADA90C83}"/>
    <cellStyle name="Normal 3" xfId="6" xr:uid="{76DF03FD-1A60-4746-A050-56687ACB560B}"/>
    <cellStyle name="Normal 4" xfId="7" xr:uid="{FA03B21F-34BA-459E-A9E4-C41E0051DA60}"/>
    <cellStyle name="Normal 5" xfId="8" xr:uid="{19E0C309-8BBD-4287-9D1E-1E23847DEB84}"/>
    <cellStyle name="Normal 6" xfId="12" xr:uid="{4ACF7875-9F66-4693-8A9D-A84D0D5C7168}"/>
    <cellStyle name="Output 2" xfId="26" xr:uid="{F31F95D1-C938-405F-91A1-FB179FB6B42E}"/>
    <cellStyle name="Percent" xfId="2" builtinId="5"/>
    <cellStyle name="Percent 2" xfId="11" xr:uid="{67AB85C4-D7BC-44F6-A4E4-A976CE9E6E19}"/>
    <cellStyle name="Title 2" xfId="17" xr:uid="{9FA863B0-71E5-4049-BB14-64F4FD652F5D}"/>
    <cellStyle name="Total 2" xfId="32" xr:uid="{FF7C5B59-192B-45C3-81FE-4CB7C7DE7801}"/>
    <cellStyle name="Warning Text 2" xfId="30" xr:uid="{F7ADD804-1ECF-4E0B-BC4C-424DE0F56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38099</xdr:rowOff>
    </xdr:from>
    <xdr:to>
      <xdr:col>5</xdr:col>
      <xdr:colOff>647700</xdr:colOff>
      <xdr:row>60</xdr:row>
      <xdr:rowOff>68792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180613"/>
          <a:ext cx="5568043" cy="29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4" zoomScaleNormal="100" workbookViewId="0">
      <selection activeCell="B27" sqref="B27"/>
    </sheetView>
  </sheetViews>
  <sheetFormatPr defaultColWidth="8.84375" defaultRowHeight="14.6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3828125" customWidth="1"/>
    <col min="15" max="15" width="13.382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66" t="s">
        <v>161</v>
      </c>
      <c r="B16" s="66"/>
      <c r="C16" s="66"/>
      <c r="D16" s="6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65" t="s">
        <v>173</v>
      </c>
      <c r="C19" s="65"/>
      <c r="D19" s="6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65" t="s">
        <v>176</v>
      </c>
      <c r="C20" s="65"/>
      <c r="D20" s="6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65" t="s">
        <v>178</v>
      </c>
      <c r="C23" s="65"/>
      <c r="D23" s="6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65" t="s">
        <v>174</v>
      </c>
      <c r="C24" s="65"/>
      <c r="D24" s="6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65" t="s">
        <v>242</v>
      </c>
      <c r="C26" s="65"/>
      <c r="D26" s="6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67" t="s">
        <v>169</v>
      </c>
      <c r="C30" s="65"/>
      <c r="D30" s="6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65" t="s">
        <v>171</v>
      </c>
      <c r="C31" s="65"/>
      <c r="D31" s="6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5234375" defaultRowHeight="14.6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382812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82812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B17" sqref="B17"/>
    </sheetView>
  </sheetViews>
  <sheetFormatPr defaultRowHeight="14.6"/>
  <cols>
    <col min="2" max="2" width="27.3828125" bestFit="1" customWidth="1"/>
    <col min="3" max="3" width="15.53515625" bestFit="1" customWidth="1"/>
    <col min="4" max="4" width="18.3828125" bestFit="1" customWidth="1"/>
    <col min="7" max="7" width="13.3046875" bestFit="1" customWidth="1"/>
    <col min="11" max="11" width="33.53515625" bestFit="1" customWidth="1"/>
    <col min="14" max="14" width="39.3828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>
      <c r="B8" s="2" t="str">
        <f t="shared" si="4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>
      <c r="C11" t="s">
        <v>117</v>
      </c>
      <c r="D11" t="s">
        <v>189</v>
      </c>
    </row>
    <row r="12" spans="1:14">
      <c r="A12" t="s">
        <v>186</v>
      </c>
      <c r="B12" t="s">
        <v>187</v>
      </c>
      <c r="C12" s="11">
        <v>0.4</v>
      </c>
      <c r="D12">
        <v>0.2</v>
      </c>
    </row>
    <row r="13" spans="1:14">
      <c r="A13" t="s">
        <v>186</v>
      </c>
      <c r="B13" t="s">
        <v>230</v>
      </c>
      <c r="C13" s="11">
        <v>0.4</v>
      </c>
      <c r="D13">
        <v>1</v>
      </c>
    </row>
    <row r="14" spans="1:14">
      <c r="A14" t="s">
        <v>186</v>
      </c>
      <c r="B14" t="s">
        <v>231</v>
      </c>
      <c r="C14" s="11">
        <v>0.4</v>
      </c>
      <c r="D14">
        <v>1</v>
      </c>
    </row>
    <row r="15" spans="1:14">
      <c r="D15" s="2"/>
      <c r="F15" s="2"/>
      <c r="H15" s="16"/>
    </row>
    <row r="17" spans="2:8">
      <c r="B17" s="45" t="s">
        <v>215</v>
      </c>
      <c r="H17" s="46"/>
    </row>
    <row r="18" spans="2:8" ht="15" thickBot="1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66"/>
  <sheetViews>
    <sheetView tabSelected="1" zoomScaleNormal="100" workbookViewId="0">
      <selection activeCell="F64" sqref="F64"/>
    </sheetView>
  </sheetViews>
  <sheetFormatPr defaultRowHeight="14.6"/>
  <cols>
    <col min="2" max="2" width="26.3828125" bestFit="1" customWidth="1"/>
    <col min="3" max="3" width="15.53515625" bestFit="1" customWidth="1"/>
    <col min="4" max="4" width="18.3828125" bestFit="1" customWidth="1"/>
    <col min="7" max="7" width="13.3046875" bestFit="1" customWidth="1"/>
    <col min="8" max="8" width="12.15234375" customWidth="1"/>
    <col min="10" max="10" width="14.4609375" customWidth="1"/>
    <col min="11" max="11" width="33.53515625" bestFit="1" customWidth="1"/>
    <col min="14" max="14" width="39.3828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1+$C35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1+$C36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59">
        <v>2024</v>
      </c>
      <c r="F26" s="2" t="s">
        <v>185</v>
      </c>
      <c r="G26" s="26">
        <f>1+$C37</f>
        <v>1</v>
      </c>
      <c r="H26" s="61">
        <v>0.70799999999999996</v>
      </c>
      <c r="I26" s="2"/>
      <c r="J26" s="2"/>
    </row>
    <row r="27" spans="1:11">
      <c r="B27" s="2"/>
      <c r="C27" s="2"/>
      <c r="D27" s="2" t="s">
        <v>154</v>
      </c>
      <c r="E27" s="59">
        <v>2025</v>
      </c>
      <c r="F27" s="2" t="s">
        <v>185</v>
      </c>
      <c r="G27" s="26">
        <f t="shared" ref="G27:G30" si="6">1+$C38</f>
        <v>1</v>
      </c>
      <c r="H27" s="61">
        <f>5.11-5.06</f>
        <v>5.0000000000000711E-2</v>
      </c>
      <c r="I27" s="2"/>
      <c r="J27" s="2"/>
    </row>
    <row r="28" spans="1:11">
      <c r="B28" s="2"/>
      <c r="C28" s="2"/>
      <c r="D28" s="2" t="s">
        <v>154</v>
      </c>
      <c r="E28" s="59">
        <v>2026</v>
      </c>
      <c r="F28" s="2" t="s">
        <v>185</v>
      </c>
      <c r="G28" s="26">
        <f t="shared" si="6"/>
        <v>1</v>
      </c>
      <c r="H28" s="61">
        <f>5.775-5.11</f>
        <v>0.66500000000000004</v>
      </c>
      <c r="I28" s="2"/>
      <c r="J28" s="2"/>
    </row>
    <row r="29" spans="1:11">
      <c r="B29" s="2"/>
      <c r="C29" s="2"/>
      <c r="D29" s="2" t="s">
        <v>154</v>
      </c>
      <c r="E29" s="59">
        <v>2027</v>
      </c>
      <c r="F29" s="2" t="s">
        <v>185</v>
      </c>
      <c r="G29" s="26">
        <f t="shared" si="6"/>
        <v>1</v>
      </c>
      <c r="H29" s="61">
        <f>6.4-5.755</f>
        <v>0.64500000000000046</v>
      </c>
      <c r="I29" s="2"/>
      <c r="J29" s="2"/>
    </row>
    <row r="30" spans="1:11">
      <c r="B30" s="2"/>
      <c r="C30" s="2"/>
      <c r="D30" s="2" t="s">
        <v>154</v>
      </c>
      <c r="E30" s="59">
        <v>2028</v>
      </c>
      <c r="F30" s="2" t="s">
        <v>185</v>
      </c>
      <c r="G30" s="26">
        <f t="shared" si="6"/>
        <v>1</v>
      </c>
      <c r="H30" s="61">
        <f>6.7-6.4</f>
        <v>0.29999999999999982</v>
      </c>
      <c r="I30" s="2"/>
      <c r="J30" s="2"/>
    </row>
    <row r="31" spans="1:11">
      <c r="B31" s="18"/>
      <c r="C31" s="18"/>
      <c r="D31" s="18" t="s">
        <v>154</v>
      </c>
      <c r="E31" s="62">
        <v>2029</v>
      </c>
      <c r="F31" s="18" t="s">
        <v>185</v>
      </c>
      <c r="G31" s="27">
        <f>1+$C38</f>
        <v>1</v>
      </c>
      <c r="H31" s="63">
        <f>7-6.7</f>
        <v>0.29999999999999982</v>
      </c>
      <c r="I31" s="18"/>
      <c r="J31" s="18"/>
    </row>
    <row r="32" spans="1:11">
      <c r="B32" s="2" t="s">
        <v>180</v>
      </c>
      <c r="C32" s="2"/>
      <c r="D32" s="2" t="s">
        <v>155</v>
      </c>
      <c r="E32" s="60">
        <v>2028</v>
      </c>
      <c r="F32" s="2" t="s">
        <v>185</v>
      </c>
      <c r="G32" s="26">
        <f>1+$C36</f>
        <v>1</v>
      </c>
      <c r="H32" s="61">
        <v>0.7</v>
      </c>
      <c r="I32" s="2">
        <v>3</v>
      </c>
      <c r="J32" s="2" t="s">
        <v>184</v>
      </c>
    </row>
    <row r="33" spans="2:10">
      <c r="D33" s="2" t="s">
        <v>155</v>
      </c>
      <c r="E33" s="60">
        <v>2029</v>
      </c>
      <c r="F33" s="2" t="s">
        <v>185</v>
      </c>
      <c r="G33" s="26">
        <f>1+$C37</f>
        <v>1</v>
      </c>
      <c r="H33" s="61">
        <f>2.865-0.725</f>
        <v>2.14</v>
      </c>
    </row>
    <row r="34" spans="2:10">
      <c r="D34" s="2" t="s">
        <v>155</v>
      </c>
      <c r="E34" s="60">
        <v>2030</v>
      </c>
      <c r="F34" s="2" t="s">
        <v>185</v>
      </c>
      <c r="G34" s="26">
        <f>1+$C38</f>
        <v>1</v>
      </c>
      <c r="H34" s="61">
        <f>5-2.865</f>
        <v>2.1349999999999998</v>
      </c>
    </row>
    <row r="35" spans="2:10">
      <c r="D35" s="2" t="s">
        <v>155</v>
      </c>
      <c r="E35" s="60">
        <v>2031</v>
      </c>
      <c r="F35" s="2" t="s">
        <v>185</v>
      </c>
      <c r="G35" s="26">
        <f>1+$C39</f>
        <v>1</v>
      </c>
      <c r="H35" s="61">
        <f>7.135-5</f>
        <v>2.1349999999999998</v>
      </c>
    </row>
    <row r="36" spans="2:10">
      <c r="B36" s="5"/>
      <c r="C36" s="5"/>
      <c r="D36" s="18" t="s">
        <v>155</v>
      </c>
      <c r="E36" s="64">
        <v>2032</v>
      </c>
      <c r="F36" s="18" t="s">
        <v>185</v>
      </c>
      <c r="G36" s="27">
        <f>1+$C40</f>
        <v>1</v>
      </c>
      <c r="H36" s="63">
        <f>9.27-7.135</f>
        <v>2.1349999999999998</v>
      </c>
      <c r="I36" s="5"/>
      <c r="J36" s="5"/>
    </row>
    <row r="44" spans="2:10">
      <c r="B44" t="s">
        <v>243</v>
      </c>
    </row>
    <row r="63" spans="2:4">
      <c r="B63" s="69" t="s">
        <v>244</v>
      </c>
      <c r="C63" s="71">
        <v>2022</v>
      </c>
      <c r="D63" s="71">
        <v>2023</v>
      </c>
    </row>
    <row r="64" spans="2:4">
      <c r="B64" s="70" t="s">
        <v>245</v>
      </c>
      <c r="C64" s="72" t="s">
        <v>246</v>
      </c>
      <c r="D64" s="73">
        <v>4739</v>
      </c>
    </row>
    <row r="65" spans="2:4">
      <c r="B65" s="70" t="s">
        <v>247</v>
      </c>
      <c r="C65" s="72" t="s">
        <v>248</v>
      </c>
      <c r="D65" s="72">
        <v>716</v>
      </c>
    </row>
    <row r="66" spans="2:4">
      <c r="B66" s="70" t="s">
        <v>250</v>
      </c>
      <c r="C66" s="72" t="s">
        <v>249</v>
      </c>
      <c r="D66" s="72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D29" sqref="D29"/>
    </sheetView>
  </sheetViews>
  <sheetFormatPr defaultRowHeight="14.6"/>
  <cols>
    <col min="2" max="2" width="32.69140625" bestFit="1" customWidth="1"/>
    <col min="3" max="3" width="15.53515625" bestFit="1" customWidth="1"/>
    <col min="4" max="4" width="18.3828125" bestFit="1" customWidth="1"/>
    <col min="6" max="6" width="18.69140625" customWidth="1"/>
    <col min="7" max="7" width="8.53515625" bestFit="1" customWidth="1"/>
    <col min="8" max="8" width="5.15234375" customWidth="1"/>
    <col min="9" max="9" width="8.84375" bestFit="1" customWidth="1"/>
    <col min="10" max="10" width="8.3046875" bestFit="1" customWidth="1"/>
    <col min="11" max="11" width="13.3828125" bestFit="1" customWidth="1"/>
    <col min="12" max="12" width="12.15234375" bestFit="1" customWidth="1"/>
    <col min="13" max="13" width="14.3828125" bestFit="1" customWidth="1"/>
    <col min="14" max="14" width="38.535156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1.4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1.1000000000000001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1.4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1.4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0.4</v>
      </c>
      <c r="D21">
        <v>3</v>
      </c>
    </row>
    <row r="22" spans="1:14">
      <c r="A22" t="s">
        <v>195</v>
      </c>
      <c r="B22" t="s">
        <v>197</v>
      </c>
      <c r="C22" s="11">
        <v>0.1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0.1</v>
      </c>
      <c r="D26">
        <v>32</v>
      </c>
    </row>
    <row r="27" spans="1:14">
      <c r="A27" t="s">
        <v>195</v>
      </c>
      <c r="B27" t="s">
        <v>201</v>
      </c>
      <c r="C27" s="11">
        <v>0.1</v>
      </c>
      <c r="D27">
        <v>0.5</v>
      </c>
    </row>
    <row r="28" spans="1:14">
      <c r="A28" t="s">
        <v>195</v>
      </c>
      <c r="B28" t="s">
        <v>193</v>
      </c>
      <c r="C28" s="11">
        <v>0.1</v>
      </c>
      <c r="D28">
        <v>0.5</v>
      </c>
    </row>
    <row r="29" spans="1:14">
      <c r="A29" t="s">
        <v>195</v>
      </c>
      <c r="B29" t="s">
        <v>191</v>
      </c>
      <c r="C29" s="11">
        <v>0.4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0.4</v>
      </c>
      <c r="D32">
        <v>0.5</v>
      </c>
    </row>
    <row r="35" spans="2:8">
      <c r="B35" s="45" t="s">
        <v>241</v>
      </c>
      <c r="H35" s="46"/>
    </row>
    <row r="36" spans="2:8" ht="1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4" sqref="C14"/>
    </sheetView>
  </sheetViews>
  <sheetFormatPr defaultRowHeight="14.6"/>
  <cols>
    <col min="2" max="2" width="32.69140625" bestFit="1" customWidth="1"/>
    <col min="3" max="3" width="15.53515625" bestFit="1" customWidth="1"/>
    <col min="4" max="4" width="17" bestFit="1" customWidth="1"/>
    <col min="5" max="5" width="7.69140625" bestFit="1" customWidth="1"/>
    <col min="6" max="6" width="8.84375" customWidth="1"/>
    <col min="7" max="7" width="8.53515625" bestFit="1" customWidth="1"/>
    <col min="9" max="9" width="8.84375" bestFit="1" customWidth="1"/>
    <col min="10" max="10" width="8.3046875" bestFit="1" customWidth="1"/>
    <col min="11" max="11" width="13.3828125" bestFit="1" customWidth="1"/>
    <col min="12" max="12" width="12.15234375" bestFit="1" customWidth="1"/>
    <col min="13" max="13" width="14.3828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1.5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1.25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0.5</v>
      </c>
      <c r="D16" s="57">
        <v>0.8</v>
      </c>
    </row>
    <row r="17" spans="1:8">
      <c r="A17" t="s">
        <v>139</v>
      </c>
      <c r="B17" t="s">
        <v>191</v>
      </c>
      <c r="C17" s="56">
        <v>0.25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B7" sqref="B7"/>
    </sheetView>
  </sheetViews>
  <sheetFormatPr defaultRowHeight="14.6"/>
  <cols>
    <col min="2" max="2" width="32.69140625" bestFit="1" customWidth="1"/>
    <col min="3" max="3" width="15.53515625" bestFit="1" customWidth="1"/>
    <col min="4" max="4" width="18.3828125" bestFit="1" customWidth="1"/>
    <col min="7" max="7" width="8.53515625" bestFit="1" customWidth="1"/>
    <col min="8" max="8" width="5.15234375" customWidth="1"/>
    <col min="9" max="9" width="8.84375" bestFit="1" customWidth="1"/>
    <col min="10" max="10" width="9.69140625" bestFit="1" customWidth="1"/>
    <col min="11" max="11" width="14.84375" bestFit="1" customWidth="1"/>
    <col min="12" max="12" width="12.15234375" bestFit="1" customWidth="1"/>
    <col min="13" max="13" width="14.3828125" bestFit="1" customWidth="1"/>
    <col min="14" max="14" width="38.535156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68"/>
  <sheetViews>
    <sheetView zoomScale="70" zoomScaleNormal="70" workbookViewId="0">
      <selection activeCell="J6" sqref="J6"/>
    </sheetView>
  </sheetViews>
  <sheetFormatPr defaultRowHeight="14.6"/>
  <cols>
    <col min="2" max="2" width="29.69140625" customWidth="1"/>
    <col min="3" max="3" width="14.3046875" customWidth="1"/>
    <col min="4" max="4" width="11" customWidth="1"/>
    <col min="5" max="5" width="11.15234375" customWidth="1"/>
    <col min="6" max="6" width="10.07421875" bestFit="1" customWidth="1"/>
    <col min="7" max="7" width="15.3046875" customWidth="1"/>
    <col min="8" max="8" width="10.07421875" bestFit="1" customWidth="1"/>
    <col min="9" max="10" width="8.84375" bestFit="1" customWidth="1"/>
    <col min="11" max="11" width="15.53515625" bestFit="1" customWidth="1"/>
    <col min="12" max="12" width="17.53515625" bestFit="1" customWidth="1"/>
    <col min="13" max="13" width="17.53515625" customWidth="1"/>
    <col min="14" max="14" width="13.53515625" customWidth="1"/>
    <col min="15" max="15" width="10.69140625" customWidth="1"/>
    <col min="16" max="16" width="11.1523437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>1+$K29</f>
        <v>2</v>
      </c>
      <c r="K6" s="2">
        <v>1</v>
      </c>
      <c r="L6" s="16">
        <f>-$B$59*L29/1000</f>
        <v>-18.168149999999997</v>
      </c>
      <c r="M6" s="2">
        <v>5</v>
      </c>
      <c r="N6" s="2" t="str">
        <f t="shared" ref="N6:N25" si="0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ref="J7:J25" si="1">1+$K30</f>
        <v>1.8</v>
      </c>
      <c r="K7" s="2">
        <v>1</v>
      </c>
      <c r="L7" s="16">
        <f t="shared" ref="L7:L11" si="2">-$B$59*L30/1000</f>
        <v>-18.168149999999997</v>
      </c>
      <c r="M7" s="2">
        <v>5</v>
      </c>
      <c r="N7" s="2" t="str">
        <f t="shared" si="0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0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1"/>
        <v>1.2</v>
      </c>
      <c r="K9" s="53">
        <v>1</v>
      </c>
      <c r="L9" s="55">
        <f t="shared" si="2"/>
        <v>-18.168149999999997</v>
      </c>
      <c r="M9" s="53">
        <v>5</v>
      </c>
      <c r="N9" s="53" t="str">
        <f t="shared" si="0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1"/>
        <v>1.2</v>
      </c>
      <c r="K10" s="53">
        <v>1</v>
      </c>
      <c r="L10" s="55">
        <f t="shared" si="2"/>
        <v>-18.168149999999997</v>
      </c>
      <c r="M10" s="53">
        <v>5</v>
      </c>
      <c r="N10" s="53" t="str">
        <f t="shared" si="0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1"/>
        <v>1.5</v>
      </c>
      <c r="K11" s="18">
        <v>1</v>
      </c>
      <c r="L11" s="19">
        <f t="shared" si="2"/>
        <v>-18.168149999999997</v>
      </c>
      <c r="M11" s="18">
        <v>5</v>
      </c>
      <c r="N11" s="18" t="str">
        <f t="shared" si="0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1"/>
        <v>1.8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0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1"/>
        <v>1.8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0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1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0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1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0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>-$B$57*L39/1000</f>
        <v>-7.9500000000000001E-2</v>
      </c>
      <c r="M16" s="2">
        <v>5</v>
      </c>
      <c r="N16" s="2" t="str">
        <f t="shared" si="0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0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1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0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0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1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0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>-$B$56*L44/1000</f>
        <v>-0.22769999999999999</v>
      </c>
      <c r="M21" s="2">
        <v>5</v>
      </c>
      <c r="N21" s="2" t="str">
        <f t="shared" si="0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0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1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0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1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0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1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0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52">
        <v>1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68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52">
        <v>0.15</v>
      </c>
    </row>
    <row r="33" spans="1:12">
      <c r="A33" s="68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52">
        <v>0.15</v>
      </c>
    </row>
    <row r="34" spans="1:12">
      <c r="A34" s="68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68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0.15</v>
      </c>
    </row>
    <row r="36" spans="1:12">
      <c r="A36" s="68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0.15</v>
      </c>
    </row>
    <row r="37" spans="1:12">
      <c r="A37" s="68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0.5</v>
      </c>
      <c r="L39" s="11">
        <v>0.15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0.5</v>
      </c>
      <c r="L44" s="11">
        <v>0.15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  <row r="68" spans="13:14">
      <c r="M68" s="46"/>
      <c r="N68" s="46"/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2024-04-23T09:05:49Z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