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xr:revisionPtr revIDLastSave="0" documentId="13_ncr:1_{AB8AA39C-7879-449C-B43F-01FB70C44E17}" xr6:coauthVersionLast="47" xr6:coauthVersionMax="47" xr10:uidLastSave="{00000000-0000-0000-0000-000000000000}"/>
  <bookViews>
    <workbookView xWindow="4416" yWindow="17172" windowWidth="23256" windowHeight="13176" activeTab="2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20" l="1"/>
  <c r="C7" i="20" s="1"/>
  <c r="E24" i="20"/>
  <c r="F24" i="20" l="1"/>
  <c r="E7" i="20" s="1"/>
  <c r="D7" i="20"/>
  <c r="D4" i="20"/>
  <c r="B9" i="22" s="1"/>
  <c r="K11" i="21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I11" i="22"/>
  <c r="H11" i="22"/>
  <c r="G11" i="22"/>
  <c r="F11" i="22"/>
  <c r="D11" i="22"/>
  <c r="C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I11" i="21"/>
  <c r="H11" i="21"/>
  <c r="G11" i="21"/>
  <c r="F11" i="21"/>
  <c r="D11" i="21"/>
  <c r="C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5" i="20"/>
  <c r="L9" i="22" s="1"/>
  <c r="E5" i="20"/>
  <c r="L11" i="21" s="1"/>
  <c r="C5" i="20"/>
  <c r="L7" i="21" s="1"/>
  <c r="C4" i="20"/>
  <c r="B7" i="21" s="1"/>
  <c r="E4" i="20" l="1"/>
  <c r="B11" i="22" s="1"/>
  <c r="K11" i="22"/>
  <c r="L11" i="22"/>
  <c r="B9" i="21"/>
  <c r="L9" i="21"/>
  <c r="L7" i="22"/>
  <c r="B7" i="22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11" i="2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<sst xmlns="http://schemas.openxmlformats.org/spreadsheetml/2006/main" count="168" uniqueCount="114">
  <si>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</si>
  <si>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</si>
  <si>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</si>
  <si>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</si>
  <si>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</si>
  <si>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</si>
  <si>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</si>
  <si>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</si>
  <si>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</si>
  <si>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</si>
  <si>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</si>
  <si>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</si>
  <si>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</si>
  <si>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</si>
  <si>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</si>
  <si>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</si>
  <si>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</si>
  <si>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</si>
  <si>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</si>
  <si>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</si>
  <si>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</si>
  <si>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</si>
  <si>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</si>
  <si>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</si>
  <si>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</si>
  <si>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</si>
  <si>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</si>
  <si>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</si>
  <si>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</si>
  <si>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</si>
  <si>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</si>
  <si>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</si>
  <si>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</si>
  <si>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</si>
  <si>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</si>
  <si>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</si>
  <si>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</si>
  <si>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</si>
  <si>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</si>
  <si>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</si>
  <si>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</si>
  <si>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</si>
  <si>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</si>
  <si>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</si>
  <si>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</si>
  <si>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</si>
  <si>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</si>
  <si>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</si>
  <si>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</si>
  <si>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</si>
  <si>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</si>
  <si>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</si>
  <si>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</si>
  <si>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</si>
  <si>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</si>
  <si>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</si>
  <si>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</si>
  <si>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</si>
  <si>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</si>
  <si>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</si>
  <si>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</si>
  <si>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</si>
  <si>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</si>
  <si>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</si>
  <si>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</si>
  <si>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</si>
  <si>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</si>
  <si>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</si>
  <si>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</si>
  <si>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</si>
  <si>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</si>
  <si>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</si>
  <si>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</si>
  <si>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</si>
  <si>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</si>
  <si>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</si>
  <si>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</si>
  <si>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</si>
  <si>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</si>
  <si>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</si>
  <si>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</si>
  <si>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</si>
  <si>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</si>
  <si>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</si>
  <si>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</si>
  <si>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</si>
  <si>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</si>
  <si>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</si>
  <si>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</si>
  <si>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</si>
  <si>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</si>
  <si>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</si>
  <si>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</si>
  <si>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</si>
  <si>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</si>
  <si>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</si>
  <si>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</si>
  <si>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</si>
  <si>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</si>
  <si>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</si>
  <si>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</si>
  <si>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</si>
  <si>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</si>
  <si>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</si>
  <si>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</si>
  <si>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</si>
  <si>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</si>
  <si>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</si>
  <si>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</si>
  <si>
    <t>Original values</t>
  </si>
  <si>
    <t>Ireland's CB (million tonne)</t>
  </si>
  <si>
    <t>Reference: Climate Action Plan 2024</t>
  </si>
  <si>
    <t>TOTCO2</t>
  </si>
  <si>
    <t>\I: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</si>
</sst>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3" fillId="0" borderId="0" xfId="0" applyFont="1"/>
    <xf numFmtId="0" fontId="0" fillId="0" borderId="0" xfId="0" applyAlignment="1">
      <alignment horizontal="right"/>
    </xf>
    <xf numFmtId="0" fontId="3" fillId="5" borderId="0" xfId="0" applyFont="1" applyFill="1"/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  <xf numFmtId="0" fontId="0" fillId="0" borderId="0" xfId="0" applyAlignment="1">
      <alignment horizontal="right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21771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26</xdr:row>
      <xdr:rowOff>16329</xdr:rowOff>
    </xdr:from>
    <xdr:to>
      <xdr:col>4</xdr:col>
      <xdr:colOff>1189622</xdr:colOff>
      <xdr:row>47</xdr:row>
      <xdr:rowOff>84685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57" y="4827815"/>
          <a:ext cx="5295714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4375" defaultRowHeight="14.6" x14ac:dyDescent="0.4"/>
  <cols>
    <col min="1" max="4" width="21.69140625" customWidth="1"/>
    <col min="5" max="6" width="14.15234375" customWidth="1"/>
    <col min="7" max="7" width="12.15234375" customWidth="1"/>
    <col min="8" max="10" width="8.15234375" customWidth="1"/>
    <col min="11" max="11" width="9.69140625" customWidth="1"/>
    <col min="12" max="12" width="8.15234375" customWidth="1"/>
    <col min="13" max="13" width="10" customWidth="1"/>
    <col min="14" max="14" width="11.3828125" customWidth="1"/>
    <col min="15" max="15" width="13.3828125" customWidth="1"/>
  </cols>
  <sheetData>
    <row r="1" spans="1:26" x14ac:dyDescent="0.4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4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4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4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4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4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4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4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4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4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4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4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4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4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4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 x14ac:dyDescent="0.4">
      <c r="A16" s="37" t="s">
        <v>90</v>
      </c>
      <c r="B16" s="37"/>
      <c r="C16" s="37"/>
      <c r="D16" s="37"/>
      <c r="E16" s="20"/>
      <c r="F16" s="20"/>
      <c r="G16" s="21"/>
      <c r="H16" s="21"/>
      <c r="I16" s="21"/>
      <c r="J16" s="21"/>
      <c r="K16" s="21"/>
      <c r="L16" s="21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 x14ac:dyDescent="0.4">
      <c r="A17" s="22"/>
      <c r="B17" s="22"/>
      <c r="C17" s="22"/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 x14ac:dyDescent="0.4">
      <c r="A18" s="22"/>
      <c r="B18" s="22"/>
      <c r="C18" s="22"/>
      <c r="D18" s="22"/>
      <c r="E18" s="23"/>
      <c r="F18" s="23"/>
      <c r="G18" s="24"/>
      <c r="H18" s="24"/>
      <c r="I18" s="24"/>
      <c r="J18" s="24"/>
      <c r="K18" s="24"/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 x14ac:dyDescent="0.4">
      <c r="A19" s="25" t="s">
        <v>91</v>
      </c>
      <c r="B19" s="36" t="s">
        <v>104</v>
      </c>
      <c r="C19" s="36"/>
      <c r="D19" s="36"/>
      <c r="E19" s="26"/>
      <c r="F19" s="26"/>
      <c r="G19" s="27"/>
      <c r="H19" s="27"/>
      <c r="I19" s="27"/>
      <c r="J19" s="27"/>
      <c r="K19" s="27"/>
      <c r="L19" s="2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 x14ac:dyDescent="0.4">
      <c r="A20" s="25" t="s">
        <v>92</v>
      </c>
      <c r="B20" s="36" t="s">
        <v>102</v>
      </c>
      <c r="C20" s="36"/>
      <c r="D20" s="36"/>
      <c r="E20" s="26"/>
      <c r="F20" s="26"/>
      <c r="G20" s="27"/>
      <c r="H20" s="27"/>
      <c r="I20" s="27"/>
      <c r="J20" s="27"/>
      <c r="K20" s="27"/>
      <c r="L20" s="2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 x14ac:dyDescent="0.4">
      <c r="A21" s="25" t="s">
        <v>93</v>
      </c>
      <c r="B21" s="28" t="s">
        <v>108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 x14ac:dyDescent="0.4">
      <c r="A22" s="25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 x14ac:dyDescent="0.4">
      <c r="A23" s="25" t="s">
        <v>94</v>
      </c>
      <c r="B23" s="36" t="s">
        <v>103</v>
      </c>
      <c r="C23" s="36"/>
      <c r="D23" s="36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 x14ac:dyDescent="0.4">
      <c r="A24" s="25"/>
      <c r="B24" s="28"/>
      <c r="C24" s="28"/>
      <c r="D24" s="2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 x14ac:dyDescent="0.4">
      <c r="A25" s="25"/>
      <c r="B25" s="28"/>
      <c r="C25" s="28"/>
      <c r="D25" s="2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 x14ac:dyDescent="0.4">
      <c r="A26" s="25" t="s">
        <v>95</v>
      </c>
      <c r="B26" s="36" t="s">
        <v>103</v>
      </c>
      <c r="C26" s="36"/>
      <c r="D26" s="36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 x14ac:dyDescent="0.4">
      <c r="A27" s="25"/>
      <c r="B27" s="28"/>
      <c r="C27" s="28"/>
      <c r="D27" s="2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 x14ac:dyDescent="0.4">
      <c r="A28" s="25"/>
      <c r="B28" s="28"/>
      <c r="C28" s="28"/>
      <c r="D28" s="2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 x14ac:dyDescent="0.4">
      <c r="A29" s="25" t="s">
        <v>96</v>
      </c>
      <c r="B29" s="29"/>
      <c r="C29" s="28"/>
      <c r="D29" s="2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 x14ac:dyDescent="0.4">
      <c r="A30" s="25" t="s">
        <v>97</v>
      </c>
      <c r="B30" s="38" t="s">
        <v>98</v>
      </c>
      <c r="C30" s="36"/>
      <c r="D30" s="36"/>
      <c r="E30" s="30"/>
      <c r="F30" s="30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 x14ac:dyDescent="0.4">
      <c r="A31" s="25" t="s">
        <v>99</v>
      </c>
      <c r="B31" s="36" t="s">
        <v>100</v>
      </c>
      <c r="C31" s="36"/>
      <c r="D31" s="36"/>
      <c r="E31" s="30"/>
      <c r="F31" s="3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 x14ac:dyDescent="0.4">
      <c r="A32" s="31"/>
      <c r="B32" s="32" t="s">
        <v>101</v>
      </c>
      <c r="C32" s="31"/>
      <c r="D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4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4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4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4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4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4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4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4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4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4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4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4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4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4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4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4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4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4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4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4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4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4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4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4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4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4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4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4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4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4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4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4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4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4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4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4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4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4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4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4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4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4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4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4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4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4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4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4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4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4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4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4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4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4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4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4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4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4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4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4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4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5234375" defaultRowHeight="14.6" x14ac:dyDescent="0.4"/>
  <cols>
    <col min="1" max="1" width="12.15234375" customWidth="1"/>
    <col min="2" max="2" width="11.69140625" customWidth="1"/>
    <col min="3" max="3" width="3.15234375" bestFit="1" customWidth="1"/>
    <col min="4" max="4" width="8.53515625" bestFit="1" customWidth="1"/>
    <col min="5" max="5" width="6.3828125" bestFit="1" customWidth="1"/>
    <col min="6" max="6" width="4.84375" bestFit="1" customWidth="1"/>
    <col min="7" max="7" width="5.69140625" bestFit="1" customWidth="1"/>
    <col min="8" max="8" width="5.84375" bestFit="1" customWidth="1"/>
    <col min="9" max="9" width="5.3828125" bestFit="1" customWidth="1"/>
    <col min="10" max="11" width="5.69140625" bestFit="1" customWidth="1"/>
    <col min="12" max="12" width="6.53515625" bestFit="1" customWidth="1"/>
    <col min="13" max="13" width="6.15234375" bestFit="1" customWidth="1"/>
    <col min="14" max="14" width="6.69140625" bestFit="1" customWidth="1"/>
    <col min="15" max="15" width="6.53515625" bestFit="1" customWidth="1"/>
    <col min="16" max="16" width="7.3046875" bestFit="1" customWidth="1"/>
    <col min="17" max="17" width="5.69140625" bestFit="1" customWidth="1"/>
    <col min="18" max="18" width="6.15234375" bestFit="1" customWidth="1"/>
    <col min="19" max="19" width="5.69140625" bestFit="1" customWidth="1"/>
    <col min="20" max="20" width="5.53515625" bestFit="1" customWidth="1"/>
    <col min="21" max="21" width="5.84375" bestFit="1" customWidth="1"/>
    <col min="22" max="22" width="6.69140625" bestFit="1" customWidth="1"/>
    <col min="23" max="23" width="4.84375" bestFit="1" customWidth="1"/>
    <col min="24" max="24" width="7.53515625" customWidth="1"/>
    <col min="25" max="25" width="6.69140625" bestFit="1" customWidth="1"/>
    <col min="26" max="26" width="6.15234375" bestFit="1" customWidth="1"/>
    <col min="27" max="28" width="6" bestFit="1" customWidth="1"/>
    <col min="29" max="29" width="5.69140625" bestFit="1" customWidth="1"/>
    <col min="30" max="30" width="6.69140625" bestFit="1" customWidth="1"/>
  </cols>
  <sheetData>
    <row r="3" spans="1:30" x14ac:dyDescent="0.4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4">
      <c r="A4">
        <v>1</v>
      </c>
    </row>
    <row r="5" spans="1:30" x14ac:dyDescent="0.4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4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4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" thickBot="1" x14ac:dyDescent="0.45">
      <c r="A10" s="3" t="s">
        <v>32</v>
      </c>
      <c r="B10" s="3" t="s">
        <v>33</v>
      </c>
    </row>
    <row r="11" spans="1:30" x14ac:dyDescent="0.4">
      <c r="A11" s="4" t="s">
        <v>34</v>
      </c>
      <c r="B11" s="4" t="s">
        <v>26</v>
      </c>
    </row>
    <row r="12" spans="1:30" x14ac:dyDescent="0.4">
      <c r="A12" s="5" t="s">
        <v>35</v>
      </c>
      <c r="B12" s="5" t="s">
        <v>25</v>
      </c>
    </row>
    <row r="13" spans="1:30" x14ac:dyDescent="0.4">
      <c r="A13" s="5" t="s">
        <v>36</v>
      </c>
      <c r="B13" s="5" t="s">
        <v>24</v>
      </c>
    </row>
    <row r="14" spans="1:30" x14ac:dyDescent="0.4">
      <c r="A14" s="5" t="s">
        <v>37</v>
      </c>
      <c r="B14" s="5" t="s">
        <v>23</v>
      </c>
    </row>
    <row r="15" spans="1:30" x14ac:dyDescent="0.4">
      <c r="A15" s="5" t="s">
        <v>38</v>
      </c>
      <c r="B15" s="5" t="s">
        <v>22</v>
      </c>
    </row>
    <row r="16" spans="1:30" x14ac:dyDescent="0.4">
      <c r="A16" s="5" t="s">
        <v>39</v>
      </c>
      <c r="B16" s="5" t="s">
        <v>21</v>
      </c>
    </row>
    <row r="17" spans="1:2" x14ac:dyDescent="0.4">
      <c r="A17" s="5" t="s">
        <v>40</v>
      </c>
      <c r="B17" s="5" t="s">
        <v>20</v>
      </c>
    </row>
    <row r="18" spans="1:2" x14ac:dyDescent="0.4">
      <c r="A18" s="5" t="s">
        <v>41</v>
      </c>
      <c r="B18" s="5" t="s">
        <v>19</v>
      </c>
    </row>
    <row r="19" spans="1:2" x14ac:dyDescent="0.4">
      <c r="A19" s="5" t="s">
        <v>42</v>
      </c>
      <c r="B19" s="5" t="s">
        <v>18</v>
      </c>
    </row>
    <row r="20" spans="1:2" x14ac:dyDescent="0.4">
      <c r="A20" s="5" t="s">
        <v>43</v>
      </c>
      <c r="B20" s="5" t="s">
        <v>17</v>
      </c>
    </row>
    <row r="21" spans="1:2" x14ac:dyDescent="0.4">
      <c r="A21" s="5" t="s">
        <v>44</v>
      </c>
      <c r="B21" s="5" t="s">
        <v>16</v>
      </c>
    </row>
    <row r="22" spans="1:2" x14ac:dyDescent="0.4">
      <c r="A22" s="5" t="s">
        <v>45</v>
      </c>
      <c r="B22" s="5" t="s">
        <v>15</v>
      </c>
    </row>
    <row r="23" spans="1:2" x14ac:dyDescent="0.4">
      <c r="A23" s="5" t="s">
        <v>46</v>
      </c>
      <c r="B23" s="5" t="s">
        <v>14</v>
      </c>
    </row>
    <row r="24" spans="1:2" x14ac:dyDescent="0.4">
      <c r="A24" s="5" t="s">
        <v>47</v>
      </c>
      <c r="B24" s="5" t="s">
        <v>13</v>
      </c>
    </row>
    <row r="25" spans="1:2" x14ac:dyDescent="0.4">
      <c r="A25" s="5" t="s">
        <v>48</v>
      </c>
      <c r="B25" s="5" t="s">
        <v>12</v>
      </c>
    </row>
    <row r="26" spans="1:2" x14ac:dyDescent="0.4">
      <c r="A26" s="5" t="s">
        <v>49</v>
      </c>
      <c r="B26" s="5" t="s">
        <v>11</v>
      </c>
    </row>
    <row r="27" spans="1:2" x14ac:dyDescent="0.4">
      <c r="A27" s="5" t="s">
        <v>50</v>
      </c>
      <c r="B27" s="5" t="s">
        <v>10</v>
      </c>
    </row>
    <row r="28" spans="1:2" x14ac:dyDescent="0.4">
      <c r="A28" s="5" t="s">
        <v>51</v>
      </c>
      <c r="B28" s="5" t="s">
        <v>9</v>
      </c>
    </row>
    <row r="29" spans="1:2" x14ac:dyDescent="0.4">
      <c r="A29" s="5" t="s">
        <v>52</v>
      </c>
      <c r="B29" s="5" t="s">
        <v>8</v>
      </c>
    </row>
    <row r="30" spans="1:2" x14ac:dyDescent="0.4">
      <c r="A30" s="5" t="s">
        <v>53</v>
      </c>
      <c r="B30" s="5" t="s">
        <v>7</v>
      </c>
    </row>
    <row r="31" spans="1:2" x14ac:dyDescent="0.4">
      <c r="A31" s="5" t="s">
        <v>54</v>
      </c>
      <c r="B31" s="5" t="s">
        <v>6</v>
      </c>
    </row>
    <row r="32" spans="1:2" x14ac:dyDescent="0.4">
      <c r="A32" s="5" t="s">
        <v>55</v>
      </c>
      <c r="B32" s="5" t="s">
        <v>5</v>
      </c>
    </row>
    <row r="33" spans="1:2" x14ac:dyDescent="0.4">
      <c r="A33" s="5" t="s">
        <v>56</v>
      </c>
      <c r="B33" s="5" t="s">
        <v>4</v>
      </c>
    </row>
    <row r="34" spans="1:2" x14ac:dyDescent="0.4">
      <c r="A34" s="5" t="s">
        <v>57</v>
      </c>
      <c r="B34" s="5" t="s">
        <v>3</v>
      </c>
    </row>
    <row r="35" spans="1:2" x14ac:dyDescent="0.4">
      <c r="A35" s="5" t="s">
        <v>58</v>
      </c>
      <c r="B35" s="5" t="s">
        <v>2</v>
      </c>
    </row>
    <row r="36" spans="1:2" x14ac:dyDescent="0.4">
      <c r="A36" s="5" t="s">
        <v>59</v>
      </c>
      <c r="B36" s="5" t="s">
        <v>1</v>
      </c>
    </row>
    <row r="37" spans="1:2" x14ac:dyDescent="0.4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21771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4:G26"/>
  <sheetViews>
    <sheetView tabSelected="1" topLeftCell="A4" workbookViewId="0">
      <selection activeCell="F24" sqref="F24"/>
    </sheetView>
  </sheetViews>
  <sheetFormatPr defaultColWidth="9.15234375" defaultRowHeight="14.6" x14ac:dyDescent="0.4"/>
  <cols>
    <col min="2" max="2" width="14" bestFit="1" customWidth="1"/>
    <col min="3" max="3" width="30.15234375" bestFit="1" customWidth="1"/>
    <col min="4" max="4" width="28" bestFit="1" customWidth="1"/>
    <col min="5" max="5" width="26" bestFit="1" customWidth="1"/>
    <col min="6" max="6" width="28" bestFit="1" customWidth="1"/>
    <col min="13" max="13" width="10.53515625" bestFit="1" customWidth="1"/>
    <col min="14" max="14" width="12" bestFit="1" customWidth="1"/>
  </cols>
  <sheetData>
    <row r="4" spans="2:6" x14ac:dyDescent="0.4">
      <c r="B4" t="s">
        <v>61</v>
      </c>
      <c r="C4" t="str">
        <f xml:space="preserve"> _xlfn.TEXTJOIN("_",TRUE,"UC","CB",ROUND(C7,0),"Mt",C6)</f>
        <v>UC_CB_165_Mt_2021-2025</v>
      </c>
      <c r="D4" t="str">
        <f t="shared" ref="D4:E4" si="0" xml:space="preserve"> _xlfn.TEXTJOIN("_",TRUE,"UC","CB",ROUND(D7,0),"Mt",D6)</f>
        <v>UC_CB_111_Mt_2026-2030</v>
      </c>
      <c r="E4" t="str">
        <f t="shared" si="0"/>
        <v>UC_CB_74_Mt_2031-2050</v>
      </c>
      <c r="F4" t="str">
        <f t="shared" ref="F4" si="1" xml:space="preserve"> _xlfn.TEXTJOIN("_",TRUE,"UC","CB",ROUND(F7,0),"Mt",F6)</f>
        <v>UC_CB_0_Mt_2051-2100</v>
      </c>
    </row>
    <row r="5" spans="2:6" x14ac:dyDescent="0.4">
      <c r="B5" t="s">
        <v>68</v>
      </c>
      <c r="C5" t="str">
        <f xml:space="preserve"> _xlfn.TEXTJOIN(" ",TRUE,"Carbon budget",ROUND(C7,0),"Mt",C6)</f>
        <v>Carbon budget 165 Mt 2021-2025</v>
      </c>
      <c r="D5" t="str">
        <f t="shared" ref="D5:F5" si="2" xml:space="preserve"> _xlfn.TEXTJOIN(" ",TRUE,"Carbon budget",ROUND(D7,0),"Mt",D6)</f>
        <v>Carbon budget 111 Mt 2026-2030</v>
      </c>
      <c r="E5" t="str">
        <f t="shared" si="2"/>
        <v>Carbon budget 74 Mt 2031-2050</v>
      </c>
      <c r="F5" t="str">
        <f t="shared" si="2"/>
        <v>Carbon budget 0 Mt 2051-2100</v>
      </c>
    </row>
    <row r="6" spans="2:6" x14ac:dyDescent="0.4">
      <c r="B6" t="s">
        <v>74</v>
      </c>
      <c r="C6" t="s">
        <v>105</v>
      </c>
      <c r="D6" t="s">
        <v>106</v>
      </c>
      <c r="E6" t="s">
        <v>107</v>
      </c>
      <c r="F6" t="s">
        <v>83</v>
      </c>
    </row>
    <row r="7" spans="2:6" x14ac:dyDescent="0.4">
      <c r="B7" t="s">
        <v>69</v>
      </c>
      <c r="C7" s="17">
        <f>D24</f>
        <v>165.2</v>
      </c>
      <c r="D7" s="17">
        <f t="shared" ref="D7:E7" si="3">E24</f>
        <v>111</v>
      </c>
      <c r="E7" s="17">
        <f t="shared" si="3"/>
        <v>73.800000000000011</v>
      </c>
      <c r="F7">
        <v>0</v>
      </c>
    </row>
    <row r="8" spans="2:6" x14ac:dyDescent="0.4">
      <c r="B8" t="s">
        <v>81</v>
      </c>
      <c r="C8" t="s">
        <v>82</v>
      </c>
      <c r="D8" t="s">
        <v>82</v>
      </c>
      <c r="E8" t="s">
        <v>82</v>
      </c>
      <c r="F8" t="s">
        <v>82</v>
      </c>
    </row>
    <row r="9" spans="2:6" x14ac:dyDescent="0.4">
      <c r="B9" t="s">
        <v>62</v>
      </c>
      <c r="C9" t="s">
        <v>112</v>
      </c>
      <c r="D9" t="s">
        <v>112</v>
      </c>
      <c r="E9" t="s">
        <v>112</v>
      </c>
      <c r="F9" t="s">
        <v>112</v>
      </c>
    </row>
    <row r="10" spans="2:6" x14ac:dyDescent="0.4">
      <c r="B10" t="s">
        <v>73</v>
      </c>
      <c r="C10" t="s">
        <v>79</v>
      </c>
      <c r="D10" t="s">
        <v>79</v>
      </c>
      <c r="E10" t="s">
        <v>79</v>
      </c>
      <c r="F10" t="s">
        <v>79</v>
      </c>
    </row>
    <row r="11" spans="2:6" x14ac:dyDescent="0.4">
      <c r="B11" t="s">
        <v>77</v>
      </c>
      <c r="C11" t="s">
        <v>78</v>
      </c>
      <c r="D11" t="s">
        <v>78</v>
      </c>
      <c r="E11" t="s">
        <v>78</v>
      </c>
      <c r="F11" t="s">
        <v>78</v>
      </c>
    </row>
    <row r="12" spans="2:6" x14ac:dyDescent="0.4">
      <c r="B12" t="s">
        <v>0</v>
      </c>
      <c r="C12" t="s">
        <v>70</v>
      </c>
      <c r="D12" t="s">
        <v>70</v>
      </c>
      <c r="E12" t="s">
        <v>70</v>
      </c>
      <c r="F12" t="s">
        <v>70</v>
      </c>
    </row>
    <row r="13" spans="2:6" x14ac:dyDescent="0.4">
      <c r="B13" t="s">
        <v>80</v>
      </c>
      <c r="C13">
        <v>-1</v>
      </c>
      <c r="D13">
        <v>-1</v>
      </c>
      <c r="E13">
        <v>-1</v>
      </c>
      <c r="F13">
        <v>-1</v>
      </c>
    </row>
    <row r="14" spans="2:6" x14ac:dyDescent="0.4">
      <c r="B14" t="s">
        <v>76</v>
      </c>
      <c r="C14">
        <v>1</v>
      </c>
      <c r="D14">
        <v>1</v>
      </c>
      <c r="E14">
        <v>1</v>
      </c>
      <c r="F14">
        <v>1</v>
      </c>
    </row>
    <row r="18" spans="3:7" x14ac:dyDescent="0.4">
      <c r="C18" s="33"/>
    </row>
    <row r="19" spans="3:7" x14ac:dyDescent="0.4">
      <c r="C19" t="s">
        <v>110</v>
      </c>
      <c r="D19" s="35">
        <v>350</v>
      </c>
    </row>
    <row r="22" spans="3:7" x14ac:dyDescent="0.4">
      <c r="C22" s="33" t="s">
        <v>109</v>
      </c>
    </row>
    <row r="23" spans="3:7" x14ac:dyDescent="0.4">
      <c r="C23" t="s">
        <v>74</v>
      </c>
      <c r="D23" s="34" t="s">
        <v>105</v>
      </c>
      <c r="E23" s="34" t="s">
        <v>106</v>
      </c>
      <c r="F23" s="34" t="s">
        <v>107</v>
      </c>
      <c r="G23" s="34" t="s">
        <v>83</v>
      </c>
    </row>
    <row r="24" spans="3:7" x14ac:dyDescent="0.4">
      <c r="C24" t="s">
        <v>69</v>
      </c>
      <c r="D24" s="39">
        <f>40+54+29+7+30+5.2</f>
        <v>165.2</v>
      </c>
      <c r="E24" s="39">
        <f>20+37+23+5+24+2</f>
        <v>111</v>
      </c>
      <c r="F24" s="34">
        <f>D19-D24-E24</f>
        <v>73.800000000000011</v>
      </c>
      <c r="G24" s="34">
        <v>0</v>
      </c>
    </row>
    <row r="26" spans="3:7" x14ac:dyDescent="0.4">
      <c r="C26" t="s">
        <v>111</v>
      </c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B14" sqref="B14"/>
    </sheetView>
  </sheetViews>
  <sheetFormatPr defaultColWidth="9.15234375" defaultRowHeight="14.6" x14ac:dyDescent="0.4"/>
  <cols>
    <col min="2" max="2" width="28.53515625" bestFit="1" customWidth="1"/>
    <col min="3" max="3" width="12" bestFit="1" customWidth="1"/>
    <col min="4" max="4" width="8.3828125" bestFit="1" customWidth="1"/>
    <col min="5" max="5" width="14.3828125" bestFit="1" customWidth="1"/>
    <col min="6" max="6" width="9.3046875" bestFit="1" customWidth="1"/>
    <col min="7" max="7" width="13.3828125" bestFit="1" customWidth="1"/>
    <col min="8" max="8" width="8.3828125" bestFit="1" customWidth="1"/>
    <col min="9" max="9" width="12.53515625" bestFit="1" customWidth="1"/>
    <col min="10" max="10" width="12.15234375" bestFit="1" customWidth="1"/>
    <col min="11" max="11" width="9.3828125" bestFit="1" customWidth="1"/>
    <col min="12" max="12" width="34.3046875" bestFit="1" customWidth="1"/>
  </cols>
  <sheetData>
    <row r="1" spans="1:12" x14ac:dyDescent="0.4">
      <c r="A1" t="s">
        <v>64</v>
      </c>
    </row>
    <row r="2" spans="1:12" x14ac:dyDescent="0.4">
      <c r="B2" s="9" t="str">
        <f>"~UC_Sets: R_E: "  &amp; _xlfn.TEXTJOIN(",",TRUE,Regions!C3)</f>
        <v>~UC_Sets: R_E: IE</v>
      </c>
    </row>
    <row r="3" spans="1:12" x14ac:dyDescent="0.4">
      <c r="B3" s="9" t="s">
        <v>75</v>
      </c>
    </row>
    <row r="4" spans="1:12" x14ac:dyDescent="0.4">
      <c r="H4" t="str">
        <f>IF(RIGHT(B2,1)&lt;&gt;" ","~UC_T","")</f>
        <v>~UC_T</v>
      </c>
    </row>
    <row r="5" spans="1:12" x14ac:dyDescent="0.4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65</v>
      </c>
      <c r="L5" s="10" t="s">
        <v>63</v>
      </c>
    </row>
    <row r="6" spans="1:12" x14ac:dyDescent="0.4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13"/>
    </row>
    <row r="7" spans="1:12" x14ac:dyDescent="0.4">
      <c r="B7" t="str">
        <f>VLOOKUP($B$5, config!$B$4:$F$14,2,FALSE) &amp; "_Single"</f>
        <v>UC_CB_165_Mt_2021-2025_Single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165200</v>
      </c>
      <c r="L7" t="str">
        <f>VLOOKUP($L$5, config!$B$4:$F$14,2,FALSE) &amp; " - Single"</f>
        <v>Carbon budget 165 Mt 2021-2025 - Single</v>
      </c>
    </row>
    <row r="8" spans="1:12" x14ac:dyDescent="0.4">
      <c r="B8" t="s">
        <v>113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4">
      <c r="B9" t="str">
        <f>VLOOKUP($B$5, config!$B$4:$F$14,3,FALSE) &amp; "_Single"</f>
        <v>UC_CB_111_Mt_2026-2030_Single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111000</v>
      </c>
      <c r="L9" t="str">
        <f>VLOOKUP($L$5, config!$B$4:$F$14,3,FALSE) &amp; " - Single"</f>
        <v>Carbon budget 111 Mt 2026-2030 - Single</v>
      </c>
    </row>
    <row r="10" spans="1:12" x14ac:dyDescent="0.4">
      <c r="B10" t="s">
        <v>113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4">
      <c r="B11" t="str">
        <f>VLOOKUP($B$5, config!$B$4:$F$14,4,FALSE) &amp; "_Single"</f>
        <v>UC_CB_74_Mt_2031-2050_Single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73800.000000000015</v>
      </c>
      <c r="L11" t="str">
        <f>VLOOKUP($L$5, config!$B$4:$F$14,4,FALSE) &amp; " - Single"</f>
        <v>Carbon budget 74 Mt 2031-2050 - Single</v>
      </c>
    </row>
    <row r="12" spans="1:12" x14ac:dyDescent="0.4">
      <c r="B12" t="s">
        <v>113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</row>
    <row r="13" spans="1:12" x14ac:dyDescent="0.4">
      <c r="B13" t="str">
        <f>VLOOKUP($B$5, config!$B$4:$F$14,5,FALSE) &amp; "_Single"</f>
        <v>UC_CB_0_Mt_2051-2100_Single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>
        <f>VLOOKUP("Value", config!$B$4:$F$14,5,FALSE)*1000</f>
        <v>0</v>
      </c>
      <c r="L13" t="str">
        <f>VLOOKUP($L$5, config!$B$4:$F$14,5,FALSE) &amp; " - Single"</f>
        <v>Carbon budget 0 Mt 2051-2100 - Single</v>
      </c>
    </row>
    <row r="14" spans="1:12" x14ac:dyDescent="0.4">
      <c r="B14" t="s">
        <v>113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B14" sqref="B14"/>
    </sheetView>
  </sheetViews>
  <sheetFormatPr defaultColWidth="9.15234375" defaultRowHeight="14.6" x14ac:dyDescent="0.4"/>
  <cols>
    <col min="2" max="2" width="28.3046875" customWidth="1"/>
    <col min="3" max="3" width="12" bestFit="1" customWidth="1"/>
    <col min="4" max="4" width="8.3828125" bestFit="1" customWidth="1"/>
    <col min="5" max="5" width="14.3828125" bestFit="1" customWidth="1"/>
    <col min="6" max="6" width="9.3046875" bestFit="1" customWidth="1"/>
    <col min="7" max="7" width="13.3828125" bestFit="1" customWidth="1"/>
    <col min="8" max="8" width="8.3828125" bestFit="1" customWidth="1"/>
    <col min="9" max="9" width="12.53515625" bestFit="1" customWidth="1"/>
    <col min="10" max="10" width="12.15234375" bestFit="1" customWidth="1"/>
    <col min="11" max="11" width="8.3828125" bestFit="1" customWidth="1"/>
    <col min="12" max="12" width="33.84375" bestFit="1" customWidth="1"/>
  </cols>
  <sheetData>
    <row r="1" spans="1:12" x14ac:dyDescent="0.4">
      <c r="A1" t="s">
        <v>66</v>
      </c>
    </row>
    <row r="2" spans="1:12" x14ac:dyDescent="0.4">
      <c r="B2" s="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4">
      <c r="B3" s="9" t="s">
        <v>75</v>
      </c>
    </row>
    <row r="4" spans="1:12" x14ac:dyDescent="0.4">
      <c r="H4" t="str">
        <f>IF(RIGHT(B2,1)&lt;&gt;" ","~UC_T","")</f>
        <v>~UC_T</v>
      </c>
    </row>
    <row r="5" spans="1:12" x14ac:dyDescent="0.4">
      <c r="B5" s="10" t="s">
        <v>61</v>
      </c>
      <c r="C5" s="11" t="s">
        <v>62</v>
      </c>
      <c r="D5" s="11" t="s">
        <v>73</v>
      </c>
      <c r="E5" s="11" t="s">
        <v>81</v>
      </c>
      <c r="F5" s="11" t="s">
        <v>74</v>
      </c>
      <c r="G5" s="11" t="s">
        <v>77</v>
      </c>
      <c r="H5" s="11" t="s">
        <v>0</v>
      </c>
      <c r="I5" s="12" t="s">
        <v>76</v>
      </c>
      <c r="J5" s="12" t="s">
        <v>80</v>
      </c>
      <c r="K5" s="8" t="s">
        <v>67</v>
      </c>
      <c r="L5" s="10" t="s">
        <v>63</v>
      </c>
    </row>
    <row r="6" spans="1:12" x14ac:dyDescent="0.4">
      <c r="B6" s="7" t="s">
        <v>71</v>
      </c>
      <c r="C6" s="7"/>
      <c r="D6" s="7"/>
      <c r="E6" s="7"/>
      <c r="F6" s="7"/>
      <c r="G6" s="7"/>
      <c r="H6" s="7"/>
      <c r="I6" s="7"/>
      <c r="J6" s="7"/>
      <c r="K6" s="7" t="s">
        <v>72</v>
      </c>
      <c r="L6" s="7"/>
    </row>
    <row r="7" spans="1:12" x14ac:dyDescent="0.4">
      <c r="B7" t="str">
        <f>VLOOKUP(B$5, config!$B$4:$F$14,2,FALSE) &amp; "_Multi"</f>
        <v>UC_CB_165_Mt_2021-2025_Multi</v>
      </c>
      <c r="C7" t="str">
        <f>VLOOKUP(C$5, config!$B$4:$F$14,2,FALSE)</f>
        <v>TOTCO2</v>
      </c>
      <c r="D7" t="str">
        <f>VLOOKUP(D$5, config!$B$4:$F$14,2,FALSE)</f>
        <v>ENV</v>
      </c>
      <c r="F7" t="str">
        <f>VLOOKUP(F$5, config!$B$4:$F$14,2,FALSE)</f>
        <v>2021-2025</v>
      </c>
      <c r="G7" t="str">
        <f>VLOOKUP(G$5, config!$B$4:$F$14,2,FALSE)</f>
        <v>NET</v>
      </c>
      <c r="H7" t="str">
        <f>VLOOKUP(H$5, config!$B$4:$F$14,2,FALSE)</f>
        <v>UP</v>
      </c>
      <c r="I7">
        <f>VLOOKUP(I$5, config!$B$4:$F$14,2,FALSE)</f>
        <v>1</v>
      </c>
      <c r="K7" s="17">
        <f>VLOOKUP("Value", config!$B$4:$F$14,2,FALSE)*1000</f>
        <v>165200</v>
      </c>
      <c r="L7" t="str">
        <f>VLOOKUP(L$5, config!$B$4:$F$14,2,FALSE) &amp; " - Multi"</f>
        <v>Carbon budget 165 Mt 2021-2025 - Multi</v>
      </c>
    </row>
    <row r="8" spans="1:12" x14ac:dyDescent="0.4">
      <c r="B8" t="s">
        <v>113</v>
      </c>
      <c r="C8" t="str">
        <f>VLOOKUP(C$5, config!$B$4:$F$14,2,FALSE)</f>
        <v>TOTCO2</v>
      </c>
      <c r="D8" t="str">
        <f>VLOOKUP(D$5, config!$B$4:$F$14,2,FALSE)</f>
        <v>ENV</v>
      </c>
      <c r="E8" t="str">
        <f>VLOOKUP(E$5, config!$B$4:$F$14,2,FALSE)</f>
        <v>T-A*INT*,T-NAV*</v>
      </c>
      <c r="F8" t="str">
        <f>VLOOKUP(F$5, config!$B$4:$F$14,2,FALSE)</f>
        <v>2021-2025</v>
      </c>
      <c r="J8">
        <f>VLOOKUP(J$5, config!$B$4:$F$14,2,FALSE)</f>
        <v>-1</v>
      </c>
      <c r="K8" s="17"/>
    </row>
    <row r="9" spans="1:12" x14ac:dyDescent="0.4">
      <c r="B9" t="str">
        <f>VLOOKUP(B$5, config!$B$4:$F$14,3,FALSE) &amp; "_Multi"</f>
        <v>UC_CB_111_Mt_2026-2030_Multi</v>
      </c>
      <c r="C9" t="str">
        <f>VLOOKUP(C$5, config!$B$4:$F$14,3,FALSE)</f>
        <v>TOTCO2</v>
      </c>
      <c r="D9" t="str">
        <f>VLOOKUP(D$5, config!$B$4:$F$14,3,FALSE)</f>
        <v>ENV</v>
      </c>
      <c r="F9" t="str">
        <f>VLOOKUP(F$5, config!$B$4:$F$14,3,FALSE)</f>
        <v>2026-2030</v>
      </c>
      <c r="G9" t="str">
        <f>VLOOKUP(G$5, config!$B$4:$F$14,3,FALSE)</f>
        <v>NET</v>
      </c>
      <c r="H9" t="str">
        <f>VLOOKUP(H$5, config!$B$4:$F$14,3,FALSE)</f>
        <v>UP</v>
      </c>
      <c r="I9">
        <f>VLOOKUP(I$5, config!$B$4:$F$14,3,FALSE)</f>
        <v>1</v>
      </c>
      <c r="K9" s="17">
        <f>VLOOKUP("Value", config!$B$4:$F$14,3,FALSE)*1000</f>
        <v>111000</v>
      </c>
      <c r="L9" t="str">
        <f>VLOOKUP(L$5, config!$B$4:$F$14,3,FALSE) &amp; " - Multi"</f>
        <v>Carbon budget 111 Mt 2026-2030 - Multi</v>
      </c>
    </row>
    <row r="10" spans="1:12" x14ac:dyDescent="0.4">
      <c r="B10" t="s">
        <v>113</v>
      </c>
      <c r="C10" t="str">
        <f>VLOOKUP(C$5, config!$B$4:$F$14,3,FALSE)</f>
        <v>TOTCO2</v>
      </c>
      <c r="D10" t="str">
        <f>VLOOKUP(D$5, config!$B$4:$F$14,3,FALSE)</f>
        <v>ENV</v>
      </c>
      <c r="E10" t="str">
        <f>VLOOKUP(E$5, config!$B$4:$F$14,3,FALSE)</f>
        <v>T-A*INT*,T-NAV*</v>
      </c>
      <c r="F10" t="str">
        <f>VLOOKUP(F$5, config!$B$4:$F$14,3,FALSE)</f>
        <v>2026-2030</v>
      </c>
      <c r="J10">
        <f>VLOOKUP(J$5, config!$B$4:$F$14,3,FALSE)</f>
        <v>-1</v>
      </c>
      <c r="K10" s="17"/>
    </row>
    <row r="11" spans="1:12" x14ac:dyDescent="0.4">
      <c r="B11" t="str">
        <f>VLOOKUP(B$5, config!$B$4:$F$14,4,FALSE) &amp; "_Multi"</f>
        <v>UC_CB_74_Mt_2031-2050_Multi</v>
      </c>
      <c r="C11" t="str">
        <f>VLOOKUP(C$5, config!$B$4:$F$14,4,FALSE)</f>
        <v>TOTCO2</v>
      </c>
      <c r="D11" t="str">
        <f>VLOOKUP(D$5, config!$B$4:$F$14,4,FALSE)</f>
        <v>ENV</v>
      </c>
      <c r="F11" t="str">
        <f>VLOOKUP(F$5, config!$B$4:$F$14,4,FALSE)</f>
        <v>2031-2050</v>
      </c>
      <c r="G11" t="str">
        <f>VLOOKUP(G$5, config!$B$4:$F$14,4,FALSE)</f>
        <v>NET</v>
      </c>
      <c r="H11" t="str">
        <f>VLOOKUP(H$5, config!$B$4:$F$14,4,FALSE)</f>
        <v>UP</v>
      </c>
      <c r="I11">
        <f>VLOOKUP(I$5, config!$B$4:$F$14,4,FALSE)</f>
        <v>1</v>
      </c>
      <c r="K11" s="17">
        <f>VLOOKUP("Value", config!$B$4:$F$14,4,FALSE)*1000</f>
        <v>73800.000000000015</v>
      </c>
      <c r="L11" t="str">
        <f>VLOOKUP(L$5, config!$B$4:$F$14,4,FALSE) &amp; " - Multi"</f>
        <v>Carbon budget 74 Mt 2031-2050 - Multi</v>
      </c>
    </row>
    <row r="12" spans="1:12" x14ac:dyDescent="0.4">
      <c r="B12" t="s">
        <v>113</v>
      </c>
      <c r="C12" t="str">
        <f>VLOOKUP(C$5, config!$B$4:$F$14,4,FALSE)</f>
        <v>TOTCO2</v>
      </c>
      <c r="D12" t="str">
        <f>VLOOKUP(D$5, config!$B$4:$F$14,4,FALSE)</f>
        <v>ENV</v>
      </c>
      <c r="E12" t="str">
        <f>VLOOKUP(E$5, config!$B$4:$F$14,4,FALSE)</f>
        <v>T-A*INT*,T-NAV*</v>
      </c>
      <c r="F12" t="str">
        <f>VLOOKUP(F$5, config!$B$4:$F$14,4,FALSE)</f>
        <v>2031-2050</v>
      </c>
      <c r="J12">
        <f>VLOOKUP(J$5, config!$B$4:$F$14,4,FALSE)</f>
        <v>-1</v>
      </c>
      <c r="K12" s="17"/>
    </row>
    <row r="13" spans="1:12" x14ac:dyDescent="0.4">
      <c r="B13" t="str">
        <f>VLOOKUP(B$5, config!$B$4:$F$14,5,FALSE) &amp; "_Multi"</f>
        <v>UC_CB_0_Mt_2051-2100_Multi</v>
      </c>
      <c r="C13" t="str">
        <f>VLOOKUP(C$5, config!$B$4:$F$14,5,FALSE)</f>
        <v>TOTCO2</v>
      </c>
      <c r="D13" t="str">
        <f>VLOOKUP(D$5, config!$B$4:$F$14,5,FALSE)</f>
        <v>ENV</v>
      </c>
      <c r="F13" t="str">
        <f>VLOOKUP(F$5, config!$B$4:$F$14,5,FALSE)</f>
        <v>2051-2100</v>
      </c>
      <c r="G13" t="str">
        <f>VLOOKUP(G$5, config!$B$4:$F$14,5,FALSE)</f>
        <v>NET</v>
      </c>
      <c r="H13" t="str">
        <f>VLOOKUP(H$5, config!$B$4:$F$14,5,FALSE)</f>
        <v>UP</v>
      </c>
      <c r="I13">
        <f>VLOOKUP(I$5, config!$B$4:$F$14,5,FALSE)</f>
        <v>1</v>
      </c>
      <c r="K13" s="17">
        <f>VLOOKUP("Value", config!$B$4:$F$14,5,FALSE)*1000</f>
        <v>0</v>
      </c>
      <c r="L13" t="str">
        <f>VLOOKUP(L$5, config!$B$4:$F$14,5,FALSE) &amp; " - Multi"</f>
        <v>Carbon budget 0 Mt 2051-2100 - Multi</v>
      </c>
    </row>
    <row r="14" spans="1:12" x14ac:dyDescent="0.4">
      <c r="B14" t="s">
        <v>113</v>
      </c>
      <c r="C14" t="str">
        <f>VLOOKUP(C$5, config!$B$4:$F$14,5,FALSE)</f>
        <v>TOTCO2</v>
      </c>
      <c r="D14" t="str">
        <f>VLOOKUP(D$5, config!$B$4:$F$14,5,FALSE)</f>
        <v>ENV</v>
      </c>
      <c r="E14" t="str">
        <f>VLOOKUP(E$5, config!$B$4:$F$14,5,FALSE)</f>
        <v>T-A*INT*,T-NAV*</v>
      </c>
      <c r="F14" t="str">
        <f>VLOOKUP(F$5, config!$B$4:$F$14,5,FALSE)</f>
        <v>2051-2100</v>
      </c>
      <c r="J14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6" x14ac:dyDescent="0.4"/>
  <cols>
    <col min="2" max="2" width="10.15234375" bestFit="1" customWidth="1"/>
    <col min="4" max="4" width="13.69140625" bestFit="1" customWidth="1"/>
    <col min="5" max="5" width="5.15234375" bestFit="1" customWidth="1"/>
    <col min="6" max="6" width="10.15234375" bestFit="1" customWidth="1"/>
  </cols>
  <sheetData>
    <row r="2" spans="2:8" x14ac:dyDescent="0.4">
      <c r="B2" s="14" t="s">
        <v>84</v>
      </c>
    </row>
    <row r="3" spans="2:8" ht="15" thickBot="1" x14ac:dyDescent="0.45">
      <c r="B3" s="15" t="s">
        <v>85</v>
      </c>
      <c r="C3" s="15" t="s">
        <v>0</v>
      </c>
      <c r="D3" s="15" t="s">
        <v>86</v>
      </c>
      <c r="E3" s="15" t="s">
        <v>74</v>
      </c>
      <c r="F3" s="15" t="s">
        <v>62</v>
      </c>
      <c r="G3" s="16" t="str">
        <f>Regions!C3</f>
        <v>IE</v>
      </c>
      <c r="H3" s="16" t="str">
        <f>Regions!D3</f>
        <v>National</v>
      </c>
    </row>
    <row r="4" spans="2:8" x14ac:dyDescent="0.4">
      <c r="C4" s="8" t="s">
        <v>87</v>
      </c>
      <c r="D4" t="s">
        <v>88</v>
      </c>
      <c r="E4">
        <v>0</v>
      </c>
      <c r="F4" t="s">
        <v>89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2024-04-23T11:02:36Z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369634509086608</vt:r8>
  </property>
</Properties>
</file>