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F4472151-A097-49A3-B223-D0D852FD9859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20" l="1"/>
  <c r="E24" i="20"/>
  <c r="D7" i="20"/>
  <c r="C7" i="20"/>
  <c r="F24" i="20" l="1"/>
  <c r="E7" i="20" s="1"/>
  <c r="D4" i="20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1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<sst xmlns="http://schemas.openxmlformats.org/spreadsheetml/2006/main" count="168" uniqueCount="114">
  <si>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</si>
  <si>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</si>
  <si>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</si>
  <si>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</si>
  <si>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</si>
  <si>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</si>
  <si>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</si>
  <si>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</si>
  <si>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</si>
  <si>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</si>
  <si>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</si>
  <si>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</si>
  <si>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</si>
  <si>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</si>
  <si>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</si>
  <si>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</si>
  <si>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</si>
  <si>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</si>
  <si>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</si>
  <si>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</si>
  <si>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</si>
  <si>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</si>
  <si>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</si>
  <si>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</si>
  <si>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</si>
  <si>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</si>
  <si>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</si>
  <si>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</si>
  <si>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</si>
  <si>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</si>
  <si>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</si>
  <si>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</si>
  <si>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</si>
  <si>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</si>
  <si>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</si>
  <si>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</si>
  <si>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</si>
  <si>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</si>
  <si>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</si>
  <si>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</si>
  <si>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</si>
  <si>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</si>
  <si>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</si>
  <si>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</si>
  <si>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</si>
  <si>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</si>
  <si>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</si>
  <si>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</si>
  <si>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</si>
  <si>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</si>
  <si>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</si>
  <si>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</si>
  <si>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</si>
  <si>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</si>
  <si>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</si>
  <si>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</si>
  <si>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</si>
  <si>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</si>
  <si>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</si>
  <si>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</si>
  <si>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</si>
  <si>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</si>
  <si>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</si>
  <si>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</si>
  <si>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</si>
  <si>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</si>
  <si>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</si>
  <si>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</si>
  <si>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</si>
  <si>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</si>
  <si>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</si>
  <si>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</si>
  <si>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</si>
  <si>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</si>
  <si>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</si>
  <si>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</si>
  <si>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</si>
  <si>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</si>
  <si>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</si>
  <si>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</si>
  <si>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</si>
  <si>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</si>
  <si>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</si>
  <si>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</si>
  <si>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</si>
  <si>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</si>
  <si>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</si>
  <si>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</si>
  <si>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</si>
  <si>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</si>
  <si>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</si>
  <si>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</si>
  <si>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</si>
  <si>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</si>
  <si>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</si>
  <si>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</si>
  <si>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</si>
  <si>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</si>
  <si>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</si>
  <si>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</si>
  <si>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</si>
  <si>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</si>
  <si>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</si>
  <si>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</si>
  <si>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</si>
  <si>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</si>
  <si>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</si>
  <si>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</si>
  <si>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</si>
  <si>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</si>
  <si>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</si>
  <si>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</si>
  <si>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TOTCO2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</si>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</sst>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4375" defaultRowHeight="14.6" x14ac:dyDescent="0.4"/>
  <cols>
    <col min="1" max="4" width="21.69140625" customWidth="1"/>
    <col min="5" max="6" width="14.15234375" customWidth="1"/>
    <col min="7" max="7" width="12.15234375" customWidth="1"/>
    <col min="8" max="10" width="8.15234375" customWidth="1"/>
    <col min="11" max="11" width="9.69140625" customWidth="1"/>
    <col min="12" max="12" width="8.15234375" customWidth="1"/>
    <col min="13" max="13" width="10" customWidth="1"/>
    <col min="14" max="14" width="11.3828125" customWidth="1"/>
    <col min="15" max="15" width="13.3828125" customWidth="1"/>
  </cols>
  <sheetData>
    <row r="1" spans="1:26" x14ac:dyDescent="0.4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4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4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4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4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4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4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4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4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4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4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4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4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4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4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4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4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4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4">
      <c r="A19" s="25" t="s">
        <v>91</v>
      </c>
      <c r="B19" s="36" t="s">
        <v>104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4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4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4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4">
      <c r="A23" s="25" t="s">
        <v>94</v>
      </c>
      <c r="B23" s="36" t="s">
        <v>103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4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4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4">
      <c r="A26" s="25" t="s">
        <v>95</v>
      </c>
      <c r="B26" s="36" t="s">
        <v>103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4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4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4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4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4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4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4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4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4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4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4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4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4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4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4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4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4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4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4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4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4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4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4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4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4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4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4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4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4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4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4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4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4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4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4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4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4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4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4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4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4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4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4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4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4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4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4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4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4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4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4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4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4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4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4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4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4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4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4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4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4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4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4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4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4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4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4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5234375" defaultRowHeight="14.6" x14ac:dyDescent="0.4"/>
  <cols>
    <col min="1" max="1" width="12.15234375" customWidth="1"/>
    <col min="2" max="2" width="11.69140625" customWidth="1"/>
    <col min="3" max="3" width="3.15234375" bestFit="1" customWidth="1"/>
    <col min="4" max="4" width="8.53515625" bestFit="1" customWidth="1"/>
    <col min="5" max="5" width="6.382812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828125" bestFit="1" customWidth="1"/>
    <col min="10" max="11" width="5.69140625" bestFit="1" customWidth="1"/>
    <col min="12" max="12" width="6.53515625" bestFit="1" customWidth="1"/>
    <col min="13" max="13" width="6.152343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152343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152343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 x14ac:dyDescent="0.4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4">
      <c r="A4">
        <v>1</v>
      </c>
    </row>
    <row r="5" spans="1:30" x14ac:dyDescent="0.4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4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4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5">
      <c r="A10" s="3" t="s">
        <v>32</v>
      </c>
      <c r="B10" s="3" t="s">
        <v>33</v>
      </c>
    </row>
    <row r="11" spans="1:30" x14ac:dyDescent="0.4">
      <c r="A11" s="4" t="s">
        <v>34</v>
      </c>
      <c r="B11" s="4" t="s">
        <v>26</v>
      </c>
    </row>
    <row r="12" spans="1:30" x14ac:dyDescent="0.4">
      <c r="A12" s="5" t="s">
        <v>35</v>
      </c>
      <c r="B12" s="5" t="s">
        <v>25</v>
      </c>
    </row>
    <row r="13" spans="1:30" x14ac:dyDescent="0.4">
      <c r="A13" s="5" t="s">
        <v>36</v>
      </c>
      <c r="B13" s="5" t="s">
        <v>24</v>
      </c>
    </row>
    <row r="14" spans="1:30" x14ac:dyDescent="0.4">
      <c r="A14" s="5" t="s">
        <v>37</v>
      </c>
      <c r="B14" s="5" t="s">
        <v>23</v>
      </c>
    </row>
    <row r="15" spans="1:30" x14ac:dyDescent="0.4">
      <c r="A15" s="5" t="s">
        <v>38</v>
      </c>
      <c r="B15" s="5" t="s">
        <v>22</v>
      </c>
    </row>
    <row r="16" spans="1:30" x14ac:dyDescent="0.4">
      <c r="A16" s="5" t="s">
        <v>39</v>
      </c>
      <c r="B16" s="5" t="s">
        <v>21</v>
      </c>
    </row>
    <row r="17" spans="1:2" x14ac:dyDescent="0.4">
      <c r="A17" s="5" t="s">
        <v>40</v>
      </c>
      <c r="B17" s="5" t="s">
        <v>20</v>
      </c>
    </row>
    <row r="18" spans="1:2" x14ac:dyDescent="0.4">
      <c r="A18" s="5" t="s">
        <v>41</v>
      </c>
      <c r="B18" s="5" t="s">
        <v>19</v>
      </c>
    </row>
    <row r="19" spans="1:2" x14ac:dyDescent="0.4">
      <c r="A19" s="5" t="s">
        <v>42</v>
      </c>
      <c r="B19" s="5" t="s">
        <v>18</v>
      </c>
    </row>
    <row r="20" spans="1:2" x14ac:dyDescent="0.4">
      <c r="A20" s="5" t="s">
        <v>43</v>
      </c>
      <c r="B20" s="5" t="s">
        <v>17</v>
      </c>
    </row>
    <row r="21" spans="1:2" x14ac:dyDescent="0.4">
      <c r="A21" s="5" t="s">
        <v>44</v>
      </c>
      <c r="B21" s="5" t="s">
        <v>16</v>
      </c>
    </row>
    <row r="22" spans="1:2" x14ac:dyDescent="0.4">
      <c r="A22" s="5" t="s">
        <v>45</v>
      </c>
      <c r="B22" s="5" t="s">
        <v>15</v>
      </c>
    </row>
    <row r="23" spans="1:2" x14ac:dyDescent="0.4">
      <c r="A23" s="5" t="s">
        <v>46</v>
      </c>
      <c r="B23" s="5" t="s">
        <v>14</v>
      </c>
    </row>
    <row r="24" spans="1:2" x14ac:dyDescent="0.4">
      <c r="A24" s="5" t="s">
        <v>47</v>
      </c>
      <c r="B24" s="5" t="s">
        <v>13</v>
      </c>
    </row>
    <row r="25" spans="1:2" x14ac:dyDescent="0.4">
      <c r="A25" s="5" t="s">
        <v>48</v>
      </c>
      <c r="B25" s="5" t="s">
        <v>12</v>
      </c>
    </row>
    <row r="26" spans="1:2" x14ac:dyDescent="0.4">
      <c r="A26" s="5" t="s">
        <v>49</v>
      </c>
      <c r="B26" s="5" t="s">
        <v>11</v>
      </c>
    </row>
    <row r="27" spans="1:2" x14ac:dyDescent="0.4">
      <c r="A27" s="5" t="s">
        <v>50</v>
      </c>
      <c r="B27" s="5" t="s">
        <v>10</v>
      </c>
    </row>
    <row r="28" spans="1:2" x14ac:dyDescent="0.4">
      <c r="A28" s="5" t="s">
        <v>51</v>
      </c>
      <c r="B28" s="5" t="s">
        <v>9</v>
      </c>
    </row>
    <row r="29" spans="1:2" x14ac:dyDescent="0.4">
      <c r="A29" s="5" t="s">
        <v>52</v>
      </c>
      <c r="B29" s="5" t="s">
        <v>8</v>
      </c>
    </row>
    <row r="30" spans="1:2" x14ac:dyDescent="0.4">
      <c r="A30" s="5" t="s">
        <v>53</v>
      </c>
      <c r="B30" s="5" t="s">
        <v>7</v>
      </c>
    </row>
    <row r="31" spans="1:2" x14ac:dyDescent="0.4">
      <c r="A31" s="5" t="s">
        <v>54</v>
      </c>
      <c r="B31" s="5" t="s">
        <v>6</v>
      </c>
    </row>
    <row r="32" spans="1:2" x14ac:dyDescent="0.4">
      <c r="A32" s="5" t="s">
        <v>55</v>
      </c>
      <c r="B32" s="5" t="s">
        <v>5</v>
      </c>
    </row>
    <row r="33" spans="1:2" x14ac:dyDescent="0.4">
      <c r="A33" s="5" t="s">
        <v>56</v>
      </c>
      <c r="B33" s="5" t="s">
        <v>4</v>
      </c>
    </row>
    <row r="34" spans="1:2" x14ac:dyDescent="0.4">
      <c r="A34" s="5" t="s">
        <v>57</v>
      </c>
      <c r="B34" s="5" t="s">
        <v>3</v>
      </c>
    </row>
    <row r="35" spans="1:2" x14ac:dyDescent="0.4">
      <c r="A35" s="5" t="s">
        <v>58</v>
      </c>
      <c r="B35" s="5" t="s">
        <v>2</v>
      </c>
    </row>
    <row r="36" spans="1:2" x14ac:dyDescent="0.4">
      <c r="A36" s="5" t="s">
        <v>59</v>
      </c>
      <c r="B36" s="5" t="s">
        <v>1</v>
      </c>
    </row>
    <row r="37" spans="1:2" x14ac:dyDescent="0.4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abSelected="1" topLeftCell="A19" workbookViewId="0">
      <selection activeCell="F33" sqref="F33"/>
    </sheetView>
  </sheetViews>
  <sheetFormatPr defaultColWidth="9.15234375" defaultRowHeight="14.6" x14ac:dyDescent="0.4"/>
  <cols>
    <col min="2" max="2" width="14" bestFit="1" customWidth="1"/>
    <col min="3" max="3" width="30.15234375" bestFit="1" customWidth="1"/>
    <col min="4" max="4" width="28" bestFit="1" customWidth="1"/>
    <col min="5" max="5" width="26" bestFit="1" customWidth="1"/>
    <col min="6" max="6" width="28" bestFit="1" customWidth="1"/>
    <col min="13" max="13" width="10.53515625" bestFit="1" customWidth="1"/>
    <col min="14" max="14" width="12" bestFit="1" customWidth="1"/>
  </cols>
  <sheetData>
    <row r="4" spans="2:6" x14ac:dyDescent="0.4">
      <c r="B4" t="s">
        <v>61</v>
      </c>
      <c r="C4" t="str">
        <f xml:space="preserve"> _xlfn.TEXTJOIN("_",TRUE,"UC","CB",ROUND(C7,0),"Mt",C6)</f>
        <v>UC_CB_165_Mt_2021-2025</v>
      </c>
      <c r="D4" t="str">
        <f t="shared" ref="D4:E4" si="0" xml:space="preserve"> _xlfn.TEXTJOIN("_",TRUE,"UC","CB",ROUND(D7,0),"Mt",D6)</f>
        <v>UC_CB_111_Mt_2026-2030</v>
      </c>
      <c r="E4" t="str">
        <f t="shared" si="0"/>
        <v>UC_CB_124_Mt_2031-2050</v>
      </c>
      <c r="F4" t="str">
        <f t="shared" ref="F4" si="1" xml:space="preserve"> _xlfn.TEXTJOIN("_",TRUE,"UC","CB",ROUND(F7,0),"Mt",F6)</f>
        <v>UC_CB_0_Mt_2051-2100</v>
      </c>
    </row>
    <row r="5" spans="2:6" x14ac:dyDescent="0.4">
      <c r="B5" t="s">
        <v>68</v>
      </c>
      <c r="C5" t="str">
        <f xml:space="preserve"> _xlfn.TEXTJOIN(" ",TRUE,"Carbon budget",ROUND(C7,0),"Mt",C6)</f>
        <v>Carbon budget 165 Mt 2021-2025</v>
      </c>
      <c r="D5" t="str">
        <f t="shared" ref="D5:F5" si="2" xml:space="preserve"> _xlfn.TEXTJOIN(" ",TRUE,"Carbon budget",ROUND(D7,0),"Mt",D6)</f>
        <v>Carbon budget 111 Mt 2026-2030</v>
      </c>
      <c r="E5" t="str">
        <f t="shared" si="2"/>
        <v>Carbon budget 124 Mt 2031-2050</v>
      </c>
      <c r="F5" t="str">
        <f t="shared" si="2"/>
        <v>Carbon budget 0 Mt 2051-2100</v>
      </c>
    </row>
    <row r="6" spans="2:6" x14ac:dyDescent="0.4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4">
      <c r="B7" t="s">
        <v>69</v>
      </c>
      <c r="C7" s="17">
        <f>D24</f>
        <v>165.2</v>
      </c>
      <c r="D7" s="17">
        <f t="shared" ref="D7:E7" si="3">E24</f>
        <v>111</v>
      </c>
      <c r="E7" s="17">
        <f t="shared" si="3"/>
        <v>123.80000000000001</v>
      </c>
      <c r="F7">
        <v>0</v>
      </c>
    </row>
    <row r="8" spans="2:6" x14ac:dyDescent="0.4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4">
      <c r="B9" t="s">
        <v>62</v>
      </c>
      <c r="C9" t="s">
        <v>112</v>
      </c>
      <c r="D9" t="s">
        <v>112</v>
      </c>
      <c r="E9" t="s">
        <v>112</v>
      </c>
      <c r="F9" t="s">
        <v>112</v>
      </c>
    </row>
    <row r="10" spans="2:6" x14ac:dyDescent="0.4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4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4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4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4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4">
      <c r="C18" s="33"/>
    </row>
    <row r="19" spans="3:7" x14ac:dyDescent="0.4">
      <c r="C19" t="s">
        <v>110</v>
      </c>
      <c r="D19" s="35">
        <v>400</v>
      </c>
    </row>
    <row r="22" spans="3:7" x14ac:dyDescent="0.4">
      <c r="C22" s="33" t="s">
        <v>109</v>
      </c>
    </row>
    <row r="23" spans="3:7" x14ac:dyDescent="0.4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 x14ac:dyDescent="0.4">
      <c r="C24" t="s">
        <v>69</v>
      </c>
      <c r="D24" s="34">
        <f>40+54+29+7+30+5.2</f>
        <v>165.2</v>
      </c>
      <c r="E24" s="34">
        <f>20+37+23+5+24+2</f>
        <v>111</v>
      </c>
      <c r="F24" s="34">
        <f>D19-D24-E24</f>
        <v>123.80000000000001</v>
      </c>
      <c r="G24" s="34">
        <v>0</v>
      </c>
    </row>
    <row r="26" spans="3:7" x14ac:dyDescent="0.4">
      <c r="C26" t="s">
        <v>111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B14" sqref="B14"/>
    </sheetView>
  </sheetViews>
  <sheetFormatPr defaultColWidth="9.15234375" defaultRowHeight="14.6" x14ac:dyDescent="0.4"/>
  <cols>
    <col min="2" max="2" width="28.53515625" bestFit="1" customWidth="1"/>
    <col min="3" max="3" width="12" bestFit="1" customWidth="1"/>
    <col min="4" max="4" width="8.3828125" bestFit="1" customWidth="1"/>
    <col min="5" max="5" width="14.3828125" bestFit="1" customWidth="1"/>
    <col min="6" max="6" width="9.3046875" bestFit="1" customWidth="1"/>
    <col min="7" max="7" width="13.3828125" bestFit="1" customWidth="1"/>
    <col min="8" max="8" width="8.3828125" bestFit="1" customWidth="1"/>
    <col min="9" max="9" width="12.53515625" bestFit="1" customWidth="1"/>
    <col min="10" max="10" width="12.15234375" bestFit="1" customWidth="1"/>
    <col min="11" max="11" width="9.3828125" bestFit="1" customWidth="1"/>
    <col min="12" max="12" width="34.3046875" bestFit="1" customWidth="1"/>
  </cols>
  <sheetData>
    <row r="1" spans="1:12" x14ac:dyDescent="0.4">
      <c r="A1" t="s">
        <v>64</v>
      </c>
    </row>
    <row r="2" spans="1:12" x14ac:dyDescent="0.4">
      <c r="B2" s="9" t="str">
        <f>"~UC_Sets: R_E: "  &amp; _xlfn.TEXTJOIN(",",TRUE,Regions!C3)</f>
        <v>~UC_Sets: R_E: IE</v>
      </c>
    </row>
    <row r="3" spans="1:12" x14ac:dyDescent="0.4">
      <c r="B3" s="9" t="s">
        <v>75</v>
      </c>
    </row>
    <row r="4" spans="1:12" x14ac:dyDescent="0.4">
      <c r="H4" t="str">
        <f>IF(RIGHT(B2,1)&lt;&gt;" ","~UC_T","")</f>
        <v>~UC_T</v>
      </c>
    </row>
    <row r="5" spans="1:12" x14ac:dyDescent="0.4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4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4">
      <c r="B7" t="str">
        <f>VLOOKUP($B$5, config!$B$4:$F$14,2,FALSE) &amp; "_Single"</f>
        <v>UC_CB_165_Mt_2021-2025_Single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VLOOKUP($L$5, config!$B$4:$F$14,2,FALSE) &amp; " - Single"</f>
        <v>Carbon budget 165 Mt 2021-2025 - Single</v>
      </c>
    </row>
    <row r="8" spans="1:12" x14ac:dyDescent="0.4">
      <c r="B8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4">
      <c r="B9" t="str">
        <f>VLOOKUP($B$5, config!$B$4:$F$14,3,FALSE) &amp; "_Single"</f>
        <v>UC_CB_111_Mt_2026-2030_Single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111000</v>
      </c>
      <c r="L9" t="str">
        <f>VLOOKUP($L$5, config!$B$4:$F$14,3,FALSE) &amp; " - Single"</f>
        <v>Carbon budget 111 Mt 2026-2030 - Single</v>
      </c>
    </row>
    <row r="10" spans="1:12" x14ac:dyDescent="0.4">
      <c r="B10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4">
      <c r="B11" t="str">
        <f>VLOOKUP($B$5, config!$B$4:$F$14,4,FALSE) &amp; "_Single"</f>
        <v>UC_CB_124_Mt_2031-2050_Single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123800.00000000001</v>
      </c>
      <c r="L11" t="str">
        <f>VLOOKUP($L$5, config!$B$4:$F$14,4,FALSE) &amp; " - Single"</f>
        <v>Carbon budget 124 Mt 2031-2050 - Single</v>
      </c>
    </row>
    <row r="12" spans="1:12" x14ac:dyDescent="0.4">
      <c r="B12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4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4">
      <c r="B14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B14" sqref="B14"/>
    </sheetView>
  </sheetViews>
  <sheetFormatPr defaultColWidth="9.15234375" defaultRowHeight="14.6" x14ac:dyDescent="0.4"/>
  <cols>
    <col min="2" max="2" width="28.3046875" customWidth="1"/>
    <col min="3" max="3" width="12" bestFit="1" customWidth="1"/>
    <col min="4" max="4" width="8.3828125" bestFit="1" customWidth="1"/>
    <col min="5" max="5" width="14.3828125" bestFit="1" customWidth="1"/>
    <col min="6" max="6" width="9.3046875" bestFit="1" customWidth="1"/>
    <col min="7" max="7" width="13.3828125" bestFit="1" customWidth="1"/>
    <col min="8" max="8" width="8.3828125" bestFit="1" customWidth="1"/>
    <col min="9" max="9" width="12.53515625" bestFit="1" customWidth="1"/>
    <col min="10" max="10" width="12.15234375" bestFit="1" customWidth="1"/>
    <col min="11" max="11" width="8.3828125" bestFit="1" customWidth="1"/>
    <col min="12" max="12" width="33.84375" bestFit="1" customWidth="1"/>
  </cols>
  <sheetData>
    <row r="1" spans="1:12" x14ac:dyDescent="0.4">
      <c r="A1" t="s">
        <v>66</v>
      </c>
    </row>
    <row r="2" spans="1:12" x14ac:dyDescent="0.4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4">
      <c r="B3" s="9" t="s">
        <v>75</v>
      </c>
    </row>
    <row r="4" spans="1:12" x14ac:dyDescent="0.4">
      <c r="H4" t="str">
        <f>IF(RIGHT(B2,1)&lt;&gt;" ","~UC_T","")</f>
        <v>~UC_T</v>
      </c>
    </row>
    <row r="5" spans="1:12" x14ac:dyDescent="0.4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4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4">
      <c r="B7" t="str">
        <f>VLOOKUP(B$5, config!$B$4:$F$14,2,FALSE) &amp; "_Multi"</f>
        <v>UC_CB_165_Mt_2021-2025_Multi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VLOOKUP(L$5, config!$B$4:$F$14,2,FALSE) &amp; " - Multi"</f>
        <v>Carbon budget 165 Mt 2021-2025 - Multi</v>
      </c>
    </row>
    <row r="8" spans="1:12" x14ac:dyDescent="0.4">
      <c r="B8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4">
      <c r="B9" t="str">
        <f>VLOOKUP(B$5, config!$B$4:$F$14,3,FALSE) &amp; "_Multi"</f>
        <v>UC_CB_111_Mt_2026-2030_Multi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111000</v>
      </c>
      <c r="L9" t="str">
        <f>VLOOKUP(L$5, config!$B$4:$F$14,3,FALSE) &amp; " - Multi"</f>
        <v>Carbon budget 111 Mt 2026-2030 - Multi</v>
      </c>
    </row>
    <row r="10" spans="1:12" x14ac:dyDescent="0.4">
      <c r="B10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4">
      <c r="B11" t="str">
        <f>VLOOKUP(B$5, config!$B$4:$F$14,4,FALSE) &amp; "_Multi"</f>
        <v>UC_CB_124_Mt_2031-2050_Multi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123800.00000000001</v>
      </c>
      <c r="L11" t="str">
        <f>VLOOKUP(L$5, config!$B$4:$F$14,4,FALSE) &amp; " - Multi"</f>
        <v>Carbon budget 124 Mt 2031-2050 - Multi</v>
      </c>
    </row>
    <row r="12" spans="1:12" x14ac:dyDescent="0.4">
      <c r="B12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 x14ac:dyDescent="0.4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4">
      <c r="B14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6" x14ac:dyDescent="0.4"/>
  <cols>
    <col min="2" max="2" width="10.15234375" bestFit="1" customWidth="1"/>
    <col min="4" max="4" width="13.69140625" bestFit="1" customWidth="1"/>
    <col min="5" max="5" width="5.15234375" bestFit="1" customWidth="1"/>
    <col min="6" max="6" width="10.15234375" bestFit="1" customWidth="1"/>
  </cols>
  <sheetData>
    <row r="2" spans="2:8" x14ac:dyDescent="0.4">
      <c r="B2" s="14" t="s">
        <v>84</v>
      </c>
    </row>
    <row r="3" spans="2:8" ht="15" thickBot="1" x14ac:dyDescent="0.45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4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2024-04-23T11:02:44Z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