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7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8332C7B0-7DE8-416C-8B4A-B971426AFEF4}" xr6:coauthVersionLast="47" xr6:coauthVersionMax="47" xr10:uidLastSave="{00000000-0000-0000-0000-000000000000}"/>
  <bookViews>
    <workbookView xWindow="-110" yWindow="-110" windowWidth="25820" windowHeight="15500" firstSheet="8" activeTab="14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 CO2" sheetId="24" r:id="rId9"/>
    <sheet name="Imports_Bio" sheetId="7" r:id="rId10"/>
    <sheet name="Domestic" sheetId="3" r:id="rId11"/>
    <sheet name="Domestic_Bio" sheetId="10" r:id="rId12"/>
    <sheet name="Refinery" sheetId="12" r:id="rId13"/>
    <sheet name="Interconnector" sheetId="5" r:id="rId14"/>
    <sheet name="Emi" sheetId="19" r:id="rId15"/>
    <sheet name="SEAI-AEA_BioData" sheetId="9" r:id="rId16"/>
    <sheet name="Conversions" sheetId="16" r:id="rId1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6" i="7" l="1"/>
  <c r="C55" i="7"/>
  <c r="H57" i="7"/>
  <c r="I57" i="7"/>
  <c r="J57" i="7"/>
  <c r="K57" i="7"/>
  <c r="L57" i="7"/>
  <c r="M57" i="7"/>
  <c r="G57" i="7"/>
  <c r="H53" i="7"/>
  <c r="I53" i="7"/>
  <c r="J53" i="7"/>
  <c r="K53" i="7"/>
  <c r="L53" i="7"/>
  <c r="M53" i="7"/>
  <c r="H54" i="7"/>
  <c r="I54" i="7"/>
  <c r="J54" i="7"/>
  <c r="K54" i="7"/>
  <c r="L54" i="7"/>
  <c r="M54" i="7"/>
  <c r="H55" i="7"/>
  <c r="I55" i="7"/>
  <c r="J55" i="7"/>
  <c r="K55" i="7"/>
  <c r="L55" i="7"/>
  <c r="M55" i="7"/>
  <c r="H56" i="7"/>
  <c r="I56" i="7"/>
  <c r="J56" i="7"/>
  <c r="K56" i="7"/>
  <c r="L56" i="7"/>
  <c r="M56" i="7"/>
  <c r="G54" i="7"/>
  <c r="G55" i="7"/>
  <c r="G56" i="7"/>
  <c r="G53" i="7"/>
  <c r="B56" i="7"/>
  <c r="F53" i="7"/>
  <c r="M68" i="7"/>
  <c r="L68" i="7"/>
  <c r="K68" i="7"/>
  <c r="J68" i="7"/>
  <c r="I68" i="7"/>
  <c r="H68" i="7"/>
  <c r="I69" i="7"/>
  <c r="J69" i="7" s="1"/>
  <c r="K69" i="7" s="1"/>
  <c r="L69" i="7" s="1"/>
  <c r="K70" i="7"/>
  <c r="L70" i="7" s="1"/>
  <c r="M70" i="7" s="1"/>
  <c r="J70" i="7"/>
  <c r="J67" i="7"/>
  <c r="M67" i="7"/>
  <c r="L67" i="7"/>
  <c r="K67" i="7"/>
  <c r="I67" i="7"/>
  <c r="H67" i="7"/>
  <c r="H71" i="7" s="1"/>
  <c r="G67" i="7"/>
  <c r="G71" i="7" s="1"/>
  <c r="V19" i="9"/>
  <c r="N18" i="9"/>
  <c r="L19" i="9"/>
  <c r="E70" i="7"/>
  <c r="F70" i="7" s="1"/>
  <c r="H16" i="7" s="1"/>
  <c r="E69" i="7"/>
  <c r="F69" i="7" s="1"/>
  <c r="I15" i="7" s="1"/>
  <c r="E68" i="7"/>
  <c r="F68" i="7" s="1"/>
  <c r="E67" i="7"/>
  <c r="F67" i="7" s="1"/>
  <c r="C12" i="24"/>
  <c r="B12" i="24"/>
  <c r="C5" i="24"/>
  <c r="J5" i="5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I71" i="7" l="1"/>
  <c r="L71" i="7"/>
  <c r="M69" i="7"/>
  <c r="K71" i="7"/>
  <c r="M71" i="7"/>
  <c r="J71" i="7"/>
  <c r="G13" i="7"/>
  <c r="F13" i="7"/>
  <c r="H13" i="7"/>
  <c r="I13" i="7"/>
  <c r="J13" i="7"/>
  <c r="K13" i="7"/>
  <c r="J14" i="7"/>
  <c r="K14" i="7"/>
  <c r="I14" i="7"/>
  <c r="G14" i="7"/>
  <c r="H14" i="7"/>
  <c r="F14" i="7"/>
  <c r="K15" i="7"/>
  <c r="F15" i="7"/>
  <c r="J15" i="7"/>
  <c r="K16" i="7"/>
  <c r="H15" i="7"/>
  <c r="G16" i="7"/>
  <c r="F16" i="7"/>
  <c r="J16" i="7"/>
  <c r="G15" i="7"/>
  <c r="I16" i="7"/>
  <c r="E6" i="5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B61" i="7" s="1"/>
  <c r="C38" i="21"/>
  <c r="B19" i="7" s="1"/>
  <c r="C37" i="21"/>
  <c r="B18" i="7" s="1"/>
  <c r="B59" i="7" s="1"/>
  <c r="C36" i="21"/>
  <c r="B17" i="7" s="1"/>
  <c r="B58" i="7" s="1"/>
  <c r="C35" i="21"/>
  <c r="B1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X19" i="9"/>
  <c r="K19" i="9"/>
  <c r="J19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E13" i="10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E23" i="10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H59" i="7"/>
  <c r="H60" i="7" s="1"/>
  <c r="I58" i="7"/>
  <c r="K62" i="7"/>
  <c r="G59" i="7"/>
  <c r="G60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H44" i="7"/>
  <c r="H45" i="7" s="1"/>
  <c r="I43" i="7"/>
  <c r="G61" i="7"/>
  <c r="L62" i="7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I61" i="7" l="1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2" i="7"/>
  <c r="M62" i="7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L58" i="7"/>
  <c r="K59" i="7"/>
  <c r="K60" i="7" s="1"/>
  <c r="K49" i="7" l="1"/>
  <c r="K50" i="7" s="1"/>
  <c r="L48" i="7"/>
  <c r="K61" i="7"/>
  <c r="J51" i="7"/>
  <c r="M58" i="7"/>
  <c r="L59" i="7"/>
  <c r="L60" i="7" s="1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B0F85010-F9B2-47CB-9375-04326ED8B0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4" authorId="0" shapeId="0" xr:uid="{52EEC1BB-A777-480F-8EA4-1E3AD2AFBED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0" shapeId="0" xr:uid="{B8EF7B5F-2F8F-47CA-ADBA-F9EDC376D86D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4" authorId="0" shapeId="0" xr:uid="{9B6DA35A-DE29-4C4B-A21C-820644749B9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<sst xmlns="http://schemas.openxmlformats.org/spreadsheetml/2006/main" count="1490" uniqueCount="663">
  <si>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</si>
  <si>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</si>
  <si>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</si>
  <si>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</si>
  <si>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</si>
  <si>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</si>
  <si>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</si>
  <si>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</si>
  <si>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</si>
  <si>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</si>
  <si>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</si>
  <si>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</si>
  <si>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</si>
  <si>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</si>
  <si>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</si>
  <si>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</si>
  <si>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</si>
  <si>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</si>
  <si>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</si>
  <si>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</si>
  <si>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</si>
  <si>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</si>
  <si>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</si>
  <si>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</si>
  <si>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</si>
  <si>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</si>
  <si>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</si>
  <si>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</si>
  <si>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</si>
  <si>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</si>
  <si>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</si>
  <si>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</si>
  <si>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</si>
  <si>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</si>
  <si>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</si>
  <si>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</si>
  <si>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</si>
  <si>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</si>
  <si>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</si>
  <si>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</si>
  <si>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</si>
  <si>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</si>
  <si>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</si>
  <si>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</si>
  <si>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</si>
  <si>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</si>
  <si>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</si>
  <si>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</si>
  <si>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</si>
  <si>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</si>
  <si>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</si>
  <si>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</si>
  <si>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</si>
  <si>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</si>
  <si>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</si>
  <si>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</si>
  <si>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</si>
  <si>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</si>
  <si>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</si>
  <si>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</si>
  <si>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</si>
  <si>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</si>
  <si>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</si>
  <si>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</si>
  <si>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</si>
  <si>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</si>
  <si>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</si>
  <si>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</si>
  <si>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</si>
  <si>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</si>
  <si>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</si>
  <si>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</si>
  <si>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</si>
  <si>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</si>
  <si>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</si>
  <si>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</si>
  <si>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</si>
  <si>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</si>
  <si>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</si>
  <si>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</si>
  <si>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</si>
  <si>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</si>
  <si>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</si>
  <si>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</si>
  <si>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</si>
  <si>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</si>
  <si>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</si>
  <si>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</si>
  <si>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</si>
  <si>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</si>
  <si>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</si>
  <si>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</si>
  <si>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</si>
  <si>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</si>
  <si>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</si>
  <si>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</si>
  <si>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</si>
  <si>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</si>
  <si>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</si>
  <si>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</si>
  <si>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</si>
  <si>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</si>
  <si>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</si>
  <si>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</si>
  <si>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</si>
  <si>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</si>
  <si>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</si>
  <si>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</si>
  <si>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</si>
  <si>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</si>
  <si>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</si>
  <si>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</si>
  <si>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</si>
  <si>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</si>
  <si>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</si>
  <si>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</si>
  <si>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</si>
  <si>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</si>
  <si>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</si>
  <si>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</si>
  <si>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</si>
  <si>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</si>
  <si>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</si>
  <si>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</si>
  <si>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</si>
  <si>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</si>
  <si>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</si>
  <si>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</si>
  <si>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</si>
  <si>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</si>
  <si>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</si>
  <si>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</si>
  <si>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</si>
  <si>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</si>
  <si>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</si>
  <si>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</si>
  <si>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</si>
  <si>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</si>
  <si>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</si>
  <si>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</si>
  <si>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</si>
  <si>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</si>
  <si>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</si>
  <si>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</si>
  <si>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</si>
  <si>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</si>
  <si>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</si>
  <si>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</si>
  <si>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</si>
  <si>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</si>
  <si>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</si>
  <si>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</si>
  <si>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</si>
  <si>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</si>
  <si>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</si>
  <si>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</si>
  <si>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</si>
  <si>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</si>
  <si>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</si>
  <si>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</si>
  <si>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</si>
  <si>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</si>
  <si>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</si>
  <si>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</si>
  <si>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</si>
  <si>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</si>
  <si>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</si>
  <si>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</si>
  <si>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</si>
  <si>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</si>
  <si>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</si>
  <si>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</si>
  <si>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</si>
  <si>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</si>
  <si>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</si>
  <si>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</si>
  <si>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</si>
  <si>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</si>
  <si>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</si>
  <si>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</si>
  <si>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</si>
  <si>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</si>
  <si>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</si>
  <si>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</si>
  <si>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</si>
  <si>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</si>
  <si>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</si>
  <si>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</si>
  <si>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</si>
  <si>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</si>
  <si>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</si>
  <si>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</si>
  <si>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</si>
  <si>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</si>
  <si>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</si>
  <si>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</si>
  <si>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</si>
  <si>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</si>
  <si>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</si>
  <si>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</si>
  <si>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</si>
  <si>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</si>
  <si>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</si>
  <si>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</si>
  <si>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</si>
  <si>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</si>
  <si>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</si>
  <si>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</si>
  <si>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</si>
  <si>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</si>
  <si>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</si>
  <si>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</si>
  <si>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</si>
  <si>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</si>
  <si>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</si>
  <si>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</si>
  <si>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</si>
  <si>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</si>
  <si>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</si>
  <si>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</si>
  <si>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</si>
  <si>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</si>
  <si>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</si>
  <si>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</si>
  <si>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</si>
  <si>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</si>
  <si>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</si>
  <si>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</si>
  <si>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</si>
  <si>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</si>
  <si>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</si>
  <si>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</si>
  <si>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</si>
  <si>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</si>
  <si>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</si>
  <si>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</si>
  <si>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</si>
  <si>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</si>
  <si>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</si>
  <si>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</si>
  <si>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</si>
  <si>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</si>
  <si>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</si>
  <si>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</si>
  <si>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</si>
  <si>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</si>
  <si>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</si>
  <si>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</si>
  <si>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</si>
  <si>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</si>
  <si>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</si>
  <si>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</si>
  <si>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</si>
  <si>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</si>
  <si>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</si>
  <si>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</si>
  <si>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</si>
  <si>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</si>
  <si>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</si>
  <si>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</si>
  <si>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</si>
  <si>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</si>
  <si>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</si>
  <si>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</si>
  <si>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</si>
  <si>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</si>
  <si>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</si>
  <si>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</si>
  <si>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</si>
  <si>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</si>
  <si>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</si>
  <si>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</si>
  <si>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</si>
  <si>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</si>
  <si>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</si>
  <si>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</si>
  <si>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</si>
  <si>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</si>
  <si>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</si>
  <si>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</si>
  <si>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</si>
  <si>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</si>
  <si>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</si>
  <si>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</si>
  <si>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</si>
  <si>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</si>
  <si>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</si>
  <si>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</si>
  <si>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</si>
  <si>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</si>
  <si>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</si>
  <si>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</si>
  <si>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</si>
  <si>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</si>
  <si>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</si>
  <si>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</si>
  <si>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</si>
  <si>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</si>
  <si>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</si>
  <si>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</si>
  <si>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</si>
  <si>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</si>
  <si>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</si>
  <si>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</si>
  <si>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</si>
  <si>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</si>
  <si>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</si>
  <si>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</si>
  <si>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</si>
  <si>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</si>
  <si>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</si>
  <si>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</si>
  <si>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</si>
  <si>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</si>
  <si>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</si>
  <si>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</si>
  <si>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</si>
  <si>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</si>
  <si>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</si>
  <si>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</si>
  <si>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</si>
  <si>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</si>
  <si>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</si>
  <si>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</si>
  <si>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</si>
  <si>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</si>
  <si>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</si>
  <si>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</si>
  <si>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</si>
  <si>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</si>
  <si>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</si>
  <si>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</si>
  <si>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</si>
  <si>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</si>
  <si>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</si>
  <si>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</si>
  <si>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</si>
  <si>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</si>
  <si>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</si>
  <si>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</si>
  <si>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</si>
  <si>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</si>
  <si>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</si>
  <si>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</si>
  <si>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</si>
  <si>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</si>
  <si>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</si>
  <si>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</si>
  <si>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</si>
  <si>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</si>
  <si>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</si>
  <si>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</si>
  <si>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</si>
  <si>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</si>
  <si>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</si>
  <si>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</si>
  <si>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</si>
  <si>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</si>
  <si>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</si>
  <si>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</si>
  <si>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</si>
  <si>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</si>
  <si>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</si>
  <si>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</si>
  <si>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</si>
  <si>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</si>
  <si>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</si>
  <si>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</si>
  <si>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</si>
  <si>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</si>
  <si>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</si>
  <si>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</si>
  <si>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</si>
  <si>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</si>
  <si>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</si>
  <si>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</si>
  <si>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</si>
  <si>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</si>
  <si>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</si>
  <si>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</si>
  <si>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</si>
  <si>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</si>
  <si>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</si>
  <si>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</si>
  <si>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</si>
  <si>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</si>
  <si>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</si>
  <si>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</si>
  <si>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</si>
  <si>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</si>
  <si>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</si>
  <si>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</si>
  <si>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</si>
  <si>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</si>
  <si>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</si>
  <si>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</si>
  <si>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</si>
  <si>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</si>
  <si>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</si>
  <si>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</si>
  <si>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</si>
  <si>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</si>
  <si>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</si>
  <si>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</si>
  <si>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</si>
  <si>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</si>
  <si>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</si>
  <si>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</si>
  <si>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</si>
  <si>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</si>
  <si>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</si>
  <si>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</si>
  <si>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</si>
  <si>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</si>
  <si>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</si>
  <si>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</si>
  <si>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</si>
  <si>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</si>
  <si>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</si>
  <si>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</si>
  <si>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</si>
  <si>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</si>
  <si>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</si>
  <si>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</si>
  <si>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</si>
  <si>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</si>
  <si>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</si>
  <si>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</si>
  <si>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</si>
  <si>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</si>
  <si>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</si>
  <si>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</si>
  <si>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</si>
  <si>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</si>
  <si>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</si>
  <si>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</si>
  <si>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</si>
  <si>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</si>
  <si>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</si>
  <si>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</si>
  <si>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</si>
  <si>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</si>
  <si>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</si>
  <si>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</si>
  <si>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</si>
  <si>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</si>
  <si>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</si>
  <si>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</si>
  <si>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</si>
  <si>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</si>
  <si>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</si>
  <si>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</si>
  <si>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</si>
  <si>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</si>
  <si>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</si>
  <si>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</si>
  <si>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</si>
  <si>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</si>
  <si>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</si>
  <si>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</si>
  <si>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</si>
  <si>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</si>
  <si>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</si>
  <si>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</si>
  <si>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</si>
  <si>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</si>
  <si>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</si>
  <si>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</si>
  <si>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</si>
  <si>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</si>
  <si>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</si>
  <si>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</si>
  <si>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</si>
  <si>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</si>
  <si>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</si>
  <si>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</si>
  <si>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</si>
  <si>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</si>
  <si>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</si>
  <si>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</si>
  <si>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</si>
  <si>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</si>
  <si>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</si>
  <si>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</si>
  <si>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</si>
  <si>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</si>
  <si>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</si>
  <si>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</si>
  <si>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</si>
  <si>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</si>
  <si>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</si>
  <si>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</si>
  <si>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</si>
  <si>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</si>
  <si>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</si>
  <si>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</si>
  <si>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</si>
  <si>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</si>
  <si>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</si>
  <si>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</si>
  <si>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</si>
  <si>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</si>
  <si>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</si>
  <si>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</si>
  <si>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</si>
  <si>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</si>
  <si>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</si>
  <si>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</si>
  <si>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</si>
  <si>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</si>
  <si>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</si>
  <si>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</si>
  <si>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</si>
  <si>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</si>
  <si>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</si>
  <si>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</si>
  <si>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</si>
  <si>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</si>
  <si>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</si>
  <si>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</si>
  <si>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</si>
  <si>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</si>
  <si>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</si>
  <si>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</si>
  <si>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</si>
  <si>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</si>
  <si>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</si>
  <si>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</si>
  <si>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</si>
  <si>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</si>
  <si>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</si>
  <si>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</si>
  <si>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</si>
  <si>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</si>
  <si>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</si>
  <si>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</si>
  <si>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</si>
  <si>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</si>
  <si>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</si>
  <si>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</si>
  <si>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</si>
  <si>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</si>
  <si>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</si>
  <si>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</si>
  <si>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</si>
  <si>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</si>
  <si>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</si>
  <si>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</si>
  <si>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</si>
  <si>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</si>
  <si>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</si>
  <si>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</si>
  <si>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</si>
  <si>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</si>
  <si>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</si>
  <si>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</si>
  <si>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</si>
  <si>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</si>
  <si>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</si>
  <si>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</si>
  <si>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</si>
  <si>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</si>
  <si>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</si>
  <si>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</si>
  <si>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</si>
  <si>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</si>
  <si>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</si>
  <si>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</si>
  <si>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</si>
  <si>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</si>
  <si>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</si>
  <si>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</si>
  <si>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</si>
  <si>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</si>
  <si>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</si>
  <si>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</si>
  <si>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</si>
  <si>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</si>
  <si>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</si>
  <si>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</si>
  <si>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</si>
  <si>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</si>
  <si>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</si>
  <si>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</si>
  <si>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</si>
  <si>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</si>
  <si>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</si>
  <si>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</si>
  <si>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</si>
  <si>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</si>
  <si>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</si>
  <si>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</si>
  <si>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</si>
  <si>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</si>
  <si>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</si>
  <si>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</si>
  <si>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</si>
  <si>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</si>
  <si>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</si>
  <si>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</si>
  <si>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</si>
  <si>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</si>
  <si>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</si>
  <si>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</si>
  <si>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</si>
  <si>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</si>
  <si>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</si>
  <si>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</si>
  <si>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</si>
  <si>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</si>
  <si>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</si>
  <si>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</si>
  <si>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</si>
  <si>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</si>
  <si>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</si>
  <si>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</si>
  <si>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</si>
  <si>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</si>
  <si>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</si>
  <si>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</si>
  <si>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</si>
  <si>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</si>
  <si>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</si>
  <si>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</si>
  <si>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</si>
  <si>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</si>
  <si>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</si>
  <si>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</si>
  <si>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</si>
  <si>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Pja</t>
  </si>
  <si>
    <t>MINCO2-CAL</t>
  </si>
  <si>
    <t>COST~2018</t>
  </si>
  <si>
    <t>AGRCO2N</t>
  </si>
  <si>
    <t>INDCO2N</t>
  </si>
  <si>
    <t>INDCO2P</t>
  </si>
  <si>
    <t>PWRCO2N</t>
  </si>
  <si>
    <t>RSDCO2</t>
  </si>
  <si>
    <t>SRVCO2N</t>
  </si>
  <si>
    <t>TRACO2N</t>
  </si>
  <si>
    <t>Import of Wood Pellets  - Step 1</t>
  </si>
  <si>
    <t>Import of Wood Pellets  - Step 2</t>
  </si>
  <si>
    <t>Import of Wood Pellets  - Step 3</t>
  </si>
  <si>
    <t>Import of Wood Pellets  - Step 4</t>
  </si>
  <si>
    <t>Cost (€/MWh)</t>
  </si>
  <si>
    <t>Cost (€/GJ)</t>
  </si>
  <si>
    <t>Potential quantities of wood pellets available for import to Ireland (PJ)</t>
  </si>
  <si>
    <t>Totoal (PJ)</t>
  </si>
  <si>
    <t>From SEAI Heat Study</t>
  </si>
  <si>
    <t>Reference</t>
  </si>
  <si>
    <t>SEAI, 2022. Sustainable bioenergy for heat, National Heat study, Spatial Assessment of Resources and Evaluation of Costs and GHG Emissions</t>
  </si>
  <si>
    <t>SEAI Heat Study</t>
  </si>
  <si>
    <t>Domestic CO2 calibration</t>
  </si>
  <si>
    <t>~COMAGG_R1C2</t>
  </si>
  <si>
    <t>TOTCO2</t>
  </si>
  <si>
    <t>TOTCO2INT</t>
  </si>
  <si>
    <t>TRACO2INT</t>
  </si>
  <si>
    <t>\I: Emissions commodities aggregator</t>
  </si>
  <si>
    <t>Total CO2 Emmissions</t>
  </si>
  <si>
    <t>LO</t>
  </si>
  <si>
    <t>Total CO2 Emmissions including international</t>
  </si>
  <si>
    <t>Vahid Aryanpur (UCC,vahid.aryanpur@ucc.ie)</t>
  </si>
  <si>
    <t>Bakytzhan Suleimenov (UCC, bsuleimenov@ucc.ie)</t>
  </si>
  <si>
    <t>SUPCO2N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</si>
</sst>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  <xf numFmtId="0" fontId="53" fillId="0" borderId="0"/>
    <xf numFmtId="0" fontId="62" fillId="0" borderId="0"/>
    <xf numFmtId="0" fontId="63" fillId="0" borderId="0"/>
    <xf numFmtId="9" fontId="5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0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5" fillId="0" borderId="0" xfId="0" applyFont="1"/>
    <xf numFmtId="167" fontId="5" fillId="0" borderId="0" xfId="0" applyNumberFormat="1" applyFont="1" applyAlignment="1">
      <alignment horizontal="center" vertical="center"/>
    </xf>
    <xf numFmtId="164" fontId="64" fillId="0" borderId="16" xfId="0" applyNumberFormat="1" applyFont="1" applyBorder="1" applyAlignment="1">
      <alignment horizontal="left" vertical="center"/>
    </xf>
    <xf numFmtId="1" fontId="64" fillId="0" borderId="16" xfId="0" applyNumberFormat="1" applyFont="1" applyBorder="1" applyAlignment="1">
      <alignment horizontal="center" vertical="center"/>
    </xf>
    <xf numFmtId="0" fontId="64" fillId="0" borderId="5" xfId="0" applyFont="1" applyBorder="1" applyAlignment="1">
      <alignment vertical="center"/>
    </xf>
    <xf numFmtId="164" fontId="64" fillId="7" borderId="16" xfId="0" applyNumberFormat="1" applyFont="1" applyFill="1" applyBorder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165" fontId="64" fillId="0" borderId="16" xfId="0" applyNumberFormat="1" applyFont="1" applyBorder="1" applyAlignment="1">
      <alignment vertical="center"/>
    </xf>
    <xf numFmtId="164" fontId="64" fillId="0" borderId="5" xfId="0" applyNumberFormat="1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165" fontId="64" fillId="0" borderId="0" xfId="0" applyNumberFormat="1" applyFont="1" applyAlignment="1">
      <alignment vertical="center"/>
    </xf>
    <xf numFmtId="164" fontId="64" fillId="7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left" vertical="center"/>
    </xf>
    <xf numFmtId="165" fontId="64" fillId="0" borderId="5" xfId="0" applyNumberFormat="1" applyFont="1" applyBorder="1" applyAlignment="1">
      <alignment vertical="center"/>
    </xf>
    <xf numFmtId="164" fontId="64" fillId="7" borderId="5" xfId="0" applyNumberFormat="1" applyFont="1" applyFill="1" applyBorder="1" applyAlignment="1">
      <alignment horizontal="center" vertical="center"/>
    </xf>
    <xf numFmtId="1" fontId="64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0">
    <cellStyle name="Accent1" xfId="1" builtinId="29"/>
    <cellStyle name="Calculation" xfId="4" builtinId="22"/>
    <cellStyle name="Comma 2" xfId="15" xr:uid="{8EAB90B5-DA25-4C48-A66A-D14A2BCBB95E}"/>
    <cellStyle name="Comma 2 2" xfId="16" xr:uid="{C3D1F38D-4B80-4E61-B983-0467EBCD118F}"/>
    <cellStyle name="Comma 2 2 2" xfId="19" xr:uid="{CB3C5580-3555-450A-87C5-BE87F31B8FA2}"/>
    <cellStyle name="Comma 2 3" xfId="18" xr:uid="{909C6C48-0409-438D-A962-F9567CBAA46B}"/>
    <cellStyle name="Comma 3" xfId="17" xr:uid="{22B30534-93D4-457E-AC12-0447548E19A1}"/>
    <cellStyle name="Good" xfId="3" builtinId="26"/>
    <cellStyle name="Hyperlink" xfId="5" builtinId="8"/>
    <cellStyle name="Normal" xfId="0" builtinId="0"/>
    <cellStyle name="Normal 10" xfId="8" xr:uid="{4C671E58-F0B1-48D4-BD8A-E4C5F735094E}"/>
    <cellStyle name="Normal 2" xfId="6" xr:uid="{3D1F24A5-7B62-4933-90AC-B7DE3913179A}"/>
    <cellStyle name="Normal 3" xfId="10" xr:uid="{3A5DCF80-BC8D-49C1-B4F6-BDDD1028664B}"/>
    <cellStyle name="Normal 5" xfId="12" xr:uid="{74CEF3ED-0D60-47C8-B1B4-1A49024E2AD9}"/>
    <cellStyle name="Normal 5 2 2" xfId="13" xr:uid="{3ACC3B69-92B6-474A-BC03-8602E10CB9DB}"/>
    <cellStyle name="Normal_2000balx" xfId="7" xr:uid="{EFD0CB67-65B2-4C54-B075-572C00869A7E}"/>
    <cellStyle name="Normale_Scen_UC_IND-StrucConst" xfId="9" xr:uid="{F7F83E46-EBD5-4CAB-9F34-C6097ED8BD9F}"/>
    <cellStyle name="Percent" xfId="2" builtinId="5"/>
    <cellStyle name="Percent 2" xfId="11" xr:uid="{A71DCDAC-074E-4012-92BF-C1020F72F4B1}"/>
    <cellStyle name="Percent 3" xfId="14" xr:uid="{FB47DF39-E1AE-4A7C-976B-577886D4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11150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315686</xdr:colOff>
      <xdr:row>41</xdr:row>
      <xdr:rowOff>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7675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272141</xdr:colOff>
      <xdr:row>73</xdr:row>
      <xdr:rowOff>108855</xdr:rowOff>
    </xdr:from>
    <xdr:to>
      <xdr:col>10</xdr:col>
      <xdr:colOff>27213</xdr:colOff>
      <xdr:row>98</xdr:row>
      <xdr:rowOff>149871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5" y="14804569"/>
          <a:ext cx="4397829" cy="4667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B27" sqref="B27:D27"/>
    </sheetView>
  </sheetViews>
  <sheetFormatPr defaultColWidth="8.81640625" defaultRowHeight="14.5"/>
  <cols>
    <col min="1" max="4" width="21.7265625" customWidth="1"/>
    <col min="5" max="6" width="14.08984375" customWidth="1"/>
    <col min="7" max="7" width="12.08984375" customWidth="1"/>
    <col min="8" max="10" width="8.08984375" customWidth="1"/>
    <col min="11" max="11" width="9.7265625" customWidth="1"/>
    <col min="12" max="12" width="8.08984375" customWidth="1"/>
    <col min="13" max="13" width="10" customWidth="1"/>
    <col min="14" max="14" width="11.26953125" customWidth="1"/>
    <col min="15" max="15" width="13.269531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64" t="s">
        <v>579</v>
      </c>
      <c r="B16" s="464"/>
      <c r="C16" s="464"/>
      <c r="D16" s="464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580</v>
      </c>
      <c r="B19" s="463" t="s">
        <v>595</v>
      </c>
      <c r="C19" s="463"/>
      <c r="D19" s="463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581</v>
      </c>
      <c r="B20" s="463" t="s">
        <v>594</v>
      </c>
      <c r="C20" s="463"/>
      <c r="D20" s="463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582</v>
      </c>
      <c r="B21" s="286" t="s">
        <v>596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583</v>
      </c>
      <c r="B23" s="463" t="s">
        <v>592</v>
      </c>
      <c r="C23" s="463"/>
      <c r="D23" s="463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593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591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584</v>
      </c>
      <c r="B26" s="463" t="s">
        <v>660</v>
      </c>
      <c r="C26" s="463"/>
      <c r="D26" s="463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463" t="s">
        <v>661</v>
      </c>
      <c r="C27" s="463"/>
      <c r="D27" s="463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585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586</v>
      </c>
      <c r="B30" s="465" t="s">
        <v>587</v>
      </c>
      <c r="C30" s="463"/>
      <c r="D30" s="463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588</v>
      </c>
      <c r="B31" s="463" t="s">
        <v>589</v>
      </c>
      <c r="C31" s="463"/>
      <c r="D31" s="463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590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4.5"/>
  <cols>
    <col min="1" max="1" width="12.08984375" customWidth="1"/>
    <col min="2" max="2" width="11.7265625" customWidth="1"/>
    <col min="3" max="3" width="3.08984375" bestFit="1" customWidth="1"/>
    <col min="4" max="4" width="8.54296875" bestFit="1" customWidth="1"/>
    <col min="5" max="5" width="6.269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269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089843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8" t="s">
        <v>455</v>
      </c>
      <c r="D5" s="228" t="s">
        <v>456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457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458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" thickBot="1">
      <c r="A10" s="229" t="s">
        <v>279</v>
      </c>
      <c r="B10" s="229" t="s">
        <v>459</v>
      </c>
    </row>
    <row r="11" spans="1:30">
      <c r="A11" s="230" t="s">
        <v>460</v>
      </c>
      <c r="B11" s="230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1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08984375" defaultRowHeight="13"/>
  <cols>
    <col min="1" max="1" width="38.08984375" style="133" customWidth="1"/>
    <col min="2" max="2" width="13" style="131" bestFit="1" customWidth="1"/>
    <col min="3" max="4" width="7.54296875" style="134" bestFit="1" customWidth="1"/>
    <col min="5" max="5" width="9.08984375" style="134"/>
    <col min="6" max="6" width="6.08984375" style="135" customWidth="1"/>
    <col min="7" max="7" width="5.81640625" style="135" bestFit="1" customWidth="1"/>
    <col min="8" max="8" width="7.26953125" style="134" bestFit="1" customWidth="1"/>
    <col min="9" max="9" width="6.08984375" style="135" bestFit="1" customWidth="1"/>
    <col min="10" max="10" width="6" style="135" bestFit="1" customWidth="1"/>
    <col min="11" max="11" width="6.81640625" style="135" bestFit="1" customWidth="1"/>
    <col min="12" max="12" width="8.7265625" style="132" bestFit="1" customWidth="1"/>
    <col min="13" max="13" width="8.08984375" style="131" bestFit="1" customWidth="1"/>
    <col min="14" max="14" width="8.08984375" style="131" customWidth="1"/>
    <col min="15" max="15" width="5.26953125" style="131" customWidth="1"/>
    <col min="16" max="16" width="7.26953125" style="131" customWidth="1"/>
    <col min="17" max="17" width="7.26953125" style="131" bestFit="1" customWidth="1"/>
    <col min="18" max="18" width="8.08984375" style="131" bestFit="1" customWidth="1"/>
    <col min="19" max="20" width="7.26953125" style="131" bestFit="1" customWidth="1"/>
    <col min="21" max="21" width="8.26953125" style="131" bestFit="1" customWidth="1"/>
    <col min="22" max="22" width="6.81640625" style="131" bestFit="1" customWidth="1"/>
    <col min="23" max="25" width="5.26953125" style="131" customWidth="1"/>
    <col min="26" max="26" width="5.26953125" style="135" customWidth="1"/>
    <col min="27" max="27" width="8.08984375" style="132" bestFit="1" customWidth="1"/>
    <col min="28" max="28" width="6.7265625" style="132" bestFit="1" customWidth="1"/>
    <col min="29" max="30" width="5.54296875" style="131" customWidth="1"/>
    <col min="31" max="31" width="8.7265625" style="131" bestFit="1" customWidth="1"/>
    <col min="32" max="32" width="8.7265625" style="131" customWidth="1"/>
    <col min="33" max="33" width="5.54296875" style="131" customWidth="1"/>
    <col min="34" max="34" width="5.81640625" style="131" bestFit="1" customWidth="1"/>
    <col min="35" max="36" width="7" style="131" customWidth="1"/>
    <col min="37" max="40" width="5.54296875" style="131" customWidth="1"/>
    <col min="41" max="41" width="8.7265625" style="132" bestFit="1" customWidth="1"/>
    <col min="42" max="42" width="4.26953125" style="132" bestFit="1" customWidth="1"/>
    <col min="43" max="43" width="9.26953125" style="131" bestFit="1" customWidth="1"/>
    <col min="44" max="16384" width="9.08984375" style="131"/>
  </cols>
  <sheetData>
    <row r="1" spans="1:43" ht="120" thickBot="1">
      <c r="A1" s="212" t="s">
        <v>428</v>
      </c>
      <c r="B1" s="211" t="s">
        <v>429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443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444</v>
      </c>
      <c r="AF1" s="218" t="s">
        <v>445</v>
      </c>
      <c r="AG1" s="209" t="s">
        <v>187</v>
      </c>
      <c r="AH1" s="209" t="s">
        <v>188</v>
      </c>
      <c r="AI1" s="221" t="s">
        <v>446</v>
      </c>
      <c r="AJ1" s="218" t="s">
        <v>447</v>
      </c>
      <c r="AK1" s="221" t="s">
        <v>448</v>
      </c>
      <c r="AL1" s="218" t="s">
        <v>449</v>
      </c>
      <c r="AM1" s="219" t="s">
        <v>450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606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607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608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609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610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611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612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613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614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615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616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617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618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zoomScale="70" zoomScaleNormal="70" workbookViewId="0">
      <selection activeCell="F37" sqref="F37"/>
    </sheetView>
  </sheetViews>
  <sheetFormatPr defaultRowHeight="14.5"/>
  <cols>
    <col min="1" max="1" width="1.54296875" customWidth="1"/>
    <col min="2" max="2" width="23.26953125" bestFit="1" customWidth="1"/>
    <col min="3" max="3" width="46.7265625" bestFit="1" customWidth="1"/>
    <col min="4" max="4" width="1.54296875" bestFit="1" customWidth="1"/>
    <col min="5" max="5" width="20.81640625" customWidth="1"/>
    <col min="6" max="6" width="85.54296875" bestFit="1" customWidth="1"/>
    <col min="7" max="7" width="14.54296875" customWidth="1"/>
    <col min="8" max="8" width="8.81640625" bestFit="1" customWidth="1"/>
    <col min="9" max="9" width="9.7265625" bestFit="1" customWidth="1"/>
    <col min="10" max="10" width="18.81640625" bestFit="1" customWidth="1"/>
    <col min="11" max="11" width="9.7265625" bestFit="1" customWidth="1"/>
    <col min="12" max="12" width="1.54296875" bestFit="1" customWidth="1"/>
    <col min="13" max="13" width="27.26953125" bestFit="1" customWidth="1"/>
    <col min="14" max="14" width="35.7265625" bestFit="1" customWidth="1"/>
    <col min="15" max="15" width="1.54296875" customWidth="1"/>
    <col min="16" max="16" width="9.7265625" bestFit="1" customWidth="1"/>
    <col min="17" max="17" width="20" bestFit="1" customWidth="1"/>
    <col min="18" max="18" width="1.54296875" customWidth="1"/>
    <col min="20" max="20" width="18.08984375" bestFit="1" customWidth="1"/>
    <col min="21" max="21" width="1.54296875" customWidth="1"/>
    <col min="22" max="22" width="11.26953125" bestFit="1" customWidth="1"/>
    <col min="23" max="23" width="26.81640625" bestFit="1" customWidth="1"/>
    <col min="24" max="24" width="1.54296875" customWidth="1"/>
    <col min="26" max="26" width="11.08984375" bestFit="1" customWidth="1"/>
    <col min="27" max="27" width="1.54296875" customWidth="1"/>
    <col min="29" max="29" width="13.26953125" bestFit="1" customWidth="1"/>
  </cols>
  <sheetData>
    <row r="3" spans="2:29" ht="18.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441</v>
      </c>
      <c r="C68" s="202" t="s">
        <v>440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6"/>
  <sheetViews>
    <sheetView topLeftCell="A47" zoomScale="83" zoomScaleNormal="100" workbookViewId="0">
      <selection activeCell="D82" sqref="D82"/>
    </sheetView>
  </sheetViews>
  <sheetFormatPr defaultColWidth="9.08984375" defaultRowHeight="14.5"/>
  <cols>
    <col min="2" max="2" width="19" customWidth="1"/>
    <col min="3" max="3" width="18.26953125" bestFit="1" customWidth="1"/>
    <col min="4" max="4" width="49.8164062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185" t="s">
        <v>656</v>
      </c>
      <c r="C74" s="185"/>
      <c r="D74" s="185"/>
      <c r="E74" s="185"/>
      <c r="F74" s="185"/>
      <c r="G74" s="185"/>
      <c r="H74" s="185"/>
      <c r="I74" s="185"/>
    </row>
    <row r="75" spans="2:9">
      <c r="B75" s="174" t="s">
        <v>270</v>
      </c>
      <c r="C75" t="s">
        <v>653</v>
      </c>
      <c r="D75" t="s">
        <v>657</v>
      </c>
      <c r="E75" s="174" t="s">
        <v>271</v>
      </c>
      <c r="F75" t="s">
        <v>658</v>
      </c>
    </row>
    <row r="76" spans="2:9">
      <c r="B76" s="174" t="s">
        <v>270</v>
      </c>
      <c r="C76" t="s">
        <v>654</v>
      </c>
      <c r="D76" t="s">
        <v>659</v>
      </c>
      <c r="E76" s="174" t="s">
        <v>271</v>
      </c>
      <c r="F76" t="s">
        <v>658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52" zoomScale="85" zoomScaleNormal="85" workbookViewId="0">
      <selection activeCell="D95" sqref="D95"/>
    </sheetView>
  </sheetViews>
  <sheetFormatPr defaultRowHeight="14.5"/>
  <cols>
    <col min="2" max="2" width="26" customWidth="1"/>
    <col min="3" max="3" width="10.7265625" bestFit="1" customWidth="1"/>
    <col min="4" max="4" width="16" bestFit="1" customWidth="1"/>
    <col min="5" max="5" width="58.81640625" bestFit="1" customWidth="1"/>
    <col min="6" max="6" width="11.54296875" customWidth="1"/>
    <col min="7" max="7" width="12.81640625" customWidth="1"/>
    <col min="8" max="8" width="30.26953125" customWidth="1"/>
    <col min="9" max="9" width="25.26953125" customWidth="1"/>
    <col min="10" max="10" width="17.26953125" customWidth="1"/>
    <col min="14" max="14" width="23.26953125" bestFit="1" customWidth="1"/>
    <col min="15" max="15" width="26.54296875" bestFit="1" customWidth="1"/>
    <col min="16" max="16" width="4.08984375" customWidth="1"/>
  </cols>
  <sheetData>
    <row r="1" spans="2:10" ht="26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C6" sqref="C6"/>
    </sheetView>
  </sheetViews>
  <sheetFormatPr defaultRowHeight="14.5"/>
  <cols>
    <col min="1" max="1" width="9.08984375" style="23"/>
    <col min="2" max="2" width="11.54296875" style="23" customWidth="1"/>
    <col min="3" max="3" width="11.26953125" style="23" bestFit="1" customWidth="1"/>
    <col min="4" max="4" width="26" style="23" bestFit="1" customWidth="1"/>
    <col min="5" max="5" width="11.08984375" style="23" bestFit="1" customWidth="1"/>
    <col min="6" max="8" width="9.08984375" style="23"/>
    <col min="9" max="9" width="10.26953125" style="23" bestFit="1" customWidth="1"/>
    <col min="10" max="10" width="8.81640625" bestFit="1" customWidth="1"/>
    <col min="11" max="11" width="16.81640625" style="23" customWidth="1"/>
    <col min="12" max="12" width="9.08984375" style="23"/>
    <col min="13" max="13" width="11.26953125" style="23" bestFit="1" customWidth="1"/>
    <col min="14" max="14" width="14.7265625" style="23" bestFit="1" customWidth="1"/>
    <col min="15" max="15" width="37" style="23" bestFit="1" customWidth="1"/>
    <col min="16" max="17" width="9.81640625" style="23" customWidth="1"/>
    <col min="18" max="262" width="9.08984375" style="23"/>
    <col min="263" max="263" width="10.54296875" style="23" bestFit="1" customWidth="1"/>
    <col min="264" max="264" width="14.81640625" style="23" bestFit="1" customWidth="1"/>
    <col min="265" max="265" width="11.08984375" style="23" bestFit="1" customWidth="1"/>
    <col min="266" max="518" width="9.08984375" style="23"/>
    <col min="519" max="519" width="10.54296875" style="23" bestFit="1" customWidth="1"/>
    <col min="520" max="520" width="14.81640625" style="23" bestFit="1" customWidth="1"/>
    <col min="521" max="521" width="11.08984375" style="23" bestFit="1" customWidth="1"/>
    <col min="522" max="774" width="9.08984375" style="23"/>
    <col min="775" max="775" width="10.54296875" style="23" bestFit="1" customWidth="1"/>
    <col min="776" max="776" width="14.81640625" style="23" bestFit="1" customWidth="1"/>
    <col min="777" max="777" width="11.08984375" style="23" bestFit="1" customWidth="1"/>
    <col min="778" max="1030" width="9.08984375" style="23"/>
    <col min="1031" max="1031" width="10.54296875" style="23" bestFit="1" customWidth="1"/>
    <col min="1032" max="1032" width="14.81640625" style="23" bestFit="1" customWidth="1"/>
    <col min="1033" max="1033" width="11.08984375" style="23" bestFit="1" customWidth="1"/>
    <col min="1034" max="1286" width="9.08984375" style="23"/>
    <col min="1287" max="1287" width="10.54296875" style="23" bestFit="1" customWidth="1"/>
    <col min="1288" max="1288" width="14.81640625" style="23" bestFit="1" customWidth="1"/>
    <col min="1289" max="1289" width="11.08984375" style="23" bestFit="1" customWidth="1"/>
    <col min="1290" max="1542" width="9.08984375" style="23"/>
    <col min="1543" max="1543" width="10.54296875" style="23" bestFit="1" customWidth="1"/>
    <col min="1544" max="1544" width="14.81640625" style="23" bestFit="1" customWidth="1"/>
    <col min="1545" max="1545" width="11.08984375" style="23" bestFit="1" customWidth="1"/>
    <col min="1546" max="1798" width="9.08984375" style="23"/>
    <col min="1799" max="1799" width="10.54296875" style="23" bestFit="1" customWidth="1"/>
    <col min="1800" max="1800" width="14.81640625" style="23" bestFit="1" customWidth="1"/>
    <col min="1801" max="1801" width="11.08984375" style="23" bestFit="1" customWidth="1"/>
    <col min="1802" max="2054" width="9.08984375" style="23"/>
    <col min="2055" max="2055" width="10.54296875" style="23" bestFit="1" customWidth="1"/>
    <col min="2056" max="2056" width="14.81640625" style="23" bestFit="1" customWidth="1"/>
    <col min="2057" max="2057" width="11.08984375" style="23" bestFit="1" customWidth="1"/>
    <col min="2058" max="2310" width="9.08984375" style="23"/>
    <col min="2311" max="2311" width="10.54296875" style="23" bestFit="1" customWidth="1"/>
    <col min="2312" max="2312" width="14.81640625" style="23" bestFit="1" customWidth="1"/>
    <col min="2313" max="2313" width="11.08984375" style="23" bestFit="1" customWidth="1"/>
    <col min="2314" max="2566" width="9.08984375" style="23"/>
    <col min="2567" max="2567" width="10.54296875" style="23" bestFit="1" customWidth="1"/>
    <col min="2568" max="2568" width="14.81640625" style="23" bestFit="1" customWidth="1"/>
    <col min="2569" max="2569" width="11.08984375" style="23" bestFit="1" customWidth="1"/>
    <col min="2570" max="2822" width="9.08984375" style="23"/>
    <col min="2823" max="2823" width="10.54296875" style="23" bestFit="1" customWidth="1"/>
    <col min="2824" max="2824" width="14.81640625" style="23" bestFit="1" customWidth="1"/>
    <col min="2825" max="2825" width="11.08984375" style="23" bestFit="1" customWidth="1"/>
    <col min="2826" max="3078" width="9.08984375" style="23"/>
    <col min="3079" max="3079" width="10.54296875" style="23" bestFit="1" customWidth="1"/>
    <col min="3080" max="3080" width="14.81640625" style="23" bestFit="1" customWidth="1"/>
    <col min="3081" max="3081" width="11.08984375" style="23" bestFit="1" customWidth="1"/>
    <col min="3082" max="3334" width="9.08984375" style="23"/>
    <col min="3335" max="3335" width="10.54296875" style="23" bestFit="1" customWidth="1"/>
    <col min="3336" max="3336" width="14.81640625" style="23" bestFit="1" customWidth="1"/>
    <col min="3337" max="3337" width="11.08984375" style="23" bestFit="1" customWidth="1"/>
    <col min="3338" max="3590" width="9.08984375" style="23"/>
    <col min="3591" max="3591" width="10.54296875" style="23" bestFit="1" customWidth="1"/>
    <col min="3592" max="3592" width="14.81640625" style="23" bestFit="1" customWidth="1"/>
    <col min="3593" max="3593" width="11.08984375" style="23" bestFit="1" customWidth="1"/>
    <col min="3594" max="3846" width="9.08984375" style="23"/>
    <col min="3847" max="3847" width="10.54296875" style="23" bestFit="1" customWidth="1"/>
    <col min="3848" max="3848" width="14.81640625" style="23" bestFit="1" customWidth="1"/>
    <col min="3849" max="3849" width="11.08984375" style="23" bestFit="1" customWidth="1"/>
    <col min="3850" max="4102" width="9.08984375" style="23"/>
    <col min="4103" max="4103" width="10.54296875" style="23" bestFit="1" customWidth="1"/>
    <col min="4104" max="4104" width="14.81640625" style="23" bestFit="1" customWidth="1"/>
    <col min="4105" max="4105" width="11.08984375" style="23" bestFit="1" customWidth="1"/>
    <col min="4106" max="4358" width="9.08984375" style="23"/>
    <col min="4359" max="4359" width="10.54296875" style="23" bestFit="1" customWidth="1"/>
    <col min="4360" max="4360" width="14.81640625" style="23" bestFit="1" customWidth="1"/>
    <col min="4361" max="4361" width="11.08984375" style="23" bestFit="1" customWidth="1"/>
    <col min="4362" max="4614" width="9.08984375" style="23"/>
    <col min="4615" max="4615" width="10.54296875" style="23" bestFit="1" customWidth="1"/>
    <col min="4616" max="4616" width="14.81640625" style="23" bestFit="1" customWidth="1"/>
    <col min="4617" max="4617" width="11.08984375" style="23" bestFit="1" customWidth="1"/>
    <col min="4618" max="4870" width="9.08984375" style="23"/>
    <col min="4871" max="4871" width="10.54296875" style="23" bestFit="1" customWidth="1"/>
    <col min="4872" max="4872" width="14.81640625" style="23" bestFit="1" customWidth="1"/>
    <col min="4873" max="4873" width="11.08984375" style="23" bestFit="1" customWidth="1"/>
    <col min="4874" max="5126" width="9.08984375" style="23"/>
    <col min="5127" max="5127" width="10.54296875" style="23" bestFit="1" customWidth="1"/>
    <col min="5128" max="5128" width="14.81640625" style="23" bestFit="1" customWidth="1"/>
    <col min="5129" max="5129" width="11.08984375" style="23" bestFit="1" customWidth="1"/>
    <col min="5130" max="5382" width="9.08984375" style="23"/>
    <col min="5383" max="5383" width="10.54296875" style="23" bestFit="1" customWidth="1"/>
    <col min="5384" max="5384" width="14.81640625" style="23" bestFit="1" customWidth="1"/>
    <col min="5385" max="5385" width="11.08984375" style="23" bestFit="1" customWidth="1"/>
    <col min="5386" max="5638" width="9.08984375" style="23"/>
    <col min="5639" max="5639" width="10.54296875" style="23" bestFit="1" customWidth="1"/>
    <col min="5640" max="5640" width="14.81640625" style="23" bestFit="1" customWidth="1"/>
    <col min="5641" max="5641" width="11.08984375" style="23" bestFit="1" customWidth="1"/>
    <col min="5642" max="5894" width="9.08984375" style="23"/>
    <col min="5895" max="5895" width="10.54296875" style="23" bestFit="1" customWidth="1"/>
    <col min="5896" max="5896" width="14.81640625" style="23" bestFit="1" customWidth="1"/>
    <col min="5897" max="5897" width="11.08984375" style="23" bestFit="1" customWidth="1"/>
    <col min="5898" max="6150" width="9.08984375" style="23"/>
    <col min="6151" max="6151" width="10.54296875" style="23" bestFit="1" customWidth="1"/>
    <col min="6152" max="6152" width="14.81640625" style="23" bestFit="1" customWidth="1"/>
    <col min="6153" max="6153" width="11.08984375" style="23" bestFit="1" customWidth="1"/>
    <col min="6154" max="6406" width="9.08984375" style="23"/>
    <col min="6407" max="6407" width="10.54296875" style="23" bestFit="1" customWidth="1"/>
    <col min="6408" max="6408" width="14.81640625" style="23" bestFit="1" customWidth="1"/>
    <col min="6409" max="6409" width="11.08984375" style="23" bestFit="1" customWidth="1"/>
    <col min="6410" max="6662" width="9.08984375" style="23"/>
    <col min="6663" max="6663" width="10.54296875" style="23" bestFit="1" customWidth="1"/>
    <col min="6664" max="6664" width="14.81640625" style="23" bestFit="1" customWidth="1"/>
    <col min="6665" max="6665" width="11.08984375" style="23" bestFit="1" customWidth="1"/>
    <col min="6666" max="6918" width="9.08984375" style="23"/>
    <col min="6919" max="6919" width="10.54296875" style="23" bestFit="1" customWidth="1"/>
    <col min="6920" max="6920" width="14.81640625" style="23" bestFit="1" customWidth="1"/>
    <col min="6921" max="6921" width="11.08984375" style="23" bestFit="1" customWidth="1"/>
    <col min="6922" max="7174" width="9.08984375" style="23"/>
    <col min="7175" max="7175" width="10.54296875" style="23" bestFit="1" customWidth="1"/>
    <col min="7176" max="7176" width="14.81640625" style="23" bestFit="1" customWidth="1"/>
    <col min="7177" max="7177" width="11.08984375" style="23" bestFit="1" customWidth="1"/>
    <col min="7178" max="7430" width="9.08984375" style="23"/>
    <col min="7431" max="7431" width="10.54296875" style="23" bestFit="1" customWidth="1"/>
    <col min="7432" max="7432" width="14.81640625" style="23" bestFit="1" customWidth="1"/>
    <col min="7433" max="7433" width="11.08984375" style="23" bestFit="1" customWidth="1"/>
    <col min="7434" max="7686" width="9.08984375" style="23"/>
    <col min="7687" max="7687" width="10.54296875" style="23" bestFit="1" customWidth="1"/>
    <col min="7688" max="7688" width="14.81640625" style="23" bestFit="1" customWidth="1"/>
    <col min="7689" max="7689" width="11.08984375" style="23" bestFit="1" customWidth="1"/>
    <col min="7690" max="7942" width="9.08984375" style="23"/>
    <col min="7943" max="7943" width="10.54296875" style="23" bestFit="1" customWidth="1"/>
    <col min="7944" max="7944" width="14.81640625" style="23" bestFit="1" customWidth="1"/>
    <col min="7945" max="7945" width="11.08984375" style="23" bestFit="1" customWidth="1"/>
    <col min="7946" max="8198" width="9.08984375" style="23"/>
    <col min="8199" max="8199" width="10.54296875" style="23" bestFit="1" customWidth="1"/>
    <col min="8200" max="8200" width="14.81640625" style="23" bestFit="1" customWidth="1"/>
    <col min="8201" max="8201" width="11.08984375" style="23" bestFit="1" customWidth="1"/>
    <col min="8202" max="8454" width="9.08984375" style="23"/>
    <col min="8455" max="8455" width="10.54296875" style="23" bestFit="1" customWidth="1"/>
    <col min="8456" max="8456" width="14.81640625" style="23" bestFit="1" customWidth="1"/>
    <col min="8457" max="8457" width="11.08984375" style="23" bestFit="1" customWidth="1"/>
    <col min="8458" max="8710" width="9.08984375" style="23"/>
    <col min="8711" max="8711" width="10.54296875" style="23" bestFit="1" customWidth="1"/>
    <col min="8712" max="8712" width="14.81640625" style="23" bestFit="1" customWidth="1"/>
    <col min="8713" max="8713" width="11.08984375" style="23" bestFit="1" customWidth="1"/>
    <col min="8714" max="8966" width="9.08984375" style="23"/>
    <col min="8967" max="8967" width="10.54296875" style="23" bestFit="1" customWidth="1"/>
    <col min="8968" max="8968" width="14.81640625" style="23" bestFit="1" customWidth="1"/>
    <col min="8969" max="8969" width="11.08984375" style="23" bestFit="1" customWidth="1"/>
    <col min="8970" max="9222" width="9.08984375" style="23"/>
    <col min="9223" max="9223" width="10.54296875" style="23" bestFit="1" customWidth="1"/>
    <col min="9224" max="9224" width="14.81640625" style="23" bestFit="1" customWidth="1"/>
    <col min="9225" max="9225" width="11.08984375" style="23" bestFit="1" customWidth="1"/>
    <col min="9226" max="9478" width="9.08984375" style="23"/>
    <col min="9479" max="9479" width="10.54296875" style="23" bestFit="1" customWidth="1"/>
    <col min="9480" max="9480" width="14.81640625" style="23" bestFit="1" customWidth="1"/>
    <col min="9481" max="9481" width="11.08984375" style="23" bestFit="1" customWidth="1"/>
    <col min="9482" max="9734" width="9.08984375" style="23"/>
    <col min="9735" max="9735" width="10.54296875" style="23" bestFit="1" customWidth="1"/>
    <col min="9736" max="9736" width="14.81640625" style="23" bestFit="1" customWidth="1"/>
    <col min="9737" max="9737" width="11.08984375" style="23" bestFit="1" customWidth="1"/>
    <col min="9738" max="9990" width="9.08984375" style="23"/>
    <col min="9991" max="9991" width="10.54296875" style="23" bestFit="1" customWidth="1"/>
    <col min="9992" max="9992" width="14.81640625" style="23" bestFit="1" customWidth="1"/>
    <col min="9993" max="9993" width="11.08984375" style="23" bestFit="1" customWidth="1"/>
    <col min="9994" max="10246" width="9.08984375" style="23"/>
    <col min="10247" max="10247" width="10.54296875" style="23" bestFit="1" customWidth="1"/>
    <col min="10248" max="10248" width="14.81640625" style="23" bestFit="1" customWidth="1"/>
    <col min="10249" max="10249" width="11.08984375" style="23" bestFit="1" customWidth="1"/>
    <col min="10250" max="10502" width="9.08984375" style="23"/>
    <col min="10503" max="10503" width="10.54296875" style="23" bestFit="1" customWidth="1"/>
    <col min="10504" max="10504" width="14.81640625" style="23" bestFit="1" customWidth="1"/>
    <col min="10505" max="10505" width="11.08984375" style="23" bestFit="1" customWidth="1"/>
    <col min="10506" max="10758" width="9.08984375" style="23"/>
    <col min="10759" max="10759" width="10.54296875" style="23" bestFit="1" customWidth="1"/>
    <col min="10760" max="10760" width="14.81640625" style="23" bestFit="1" customWidth="1"/>
    <col min="10761" max="10761" width="11.08984375" style="23" bestFit="1" customWidth="1"/>
    <col min="10762" max="11014" width="9.08984375" style="23"/>
    <col min="11015" max="11015" width="10.54296875" style="23" bestFit="1" customWidth="1"/>
    <col min="11016" max="11016" width="14.81640625" style="23" bestFit="1" customWidth="1"/>
    <col min="11017" max="11017" width="11.08984375" style="23" bestFit="1" customWidth="1"/>
    <col min="11018" max="11270" width="9.08984375" style="23"/>
    <col min="11271" max="11271" width="10.54296875" style="23" bestFit="1" customWidth="1"/>
    <col min="11272" max="11272" width="14.81640625" style="23" bestFit="1" customWidth="1"/>
    <col min="11273" max="11273" width="11.08984375" style="23" bestFit="1" customWidth="1"/>
    <col min="11274" max="11526" width="9.08984375" style="23"/>
    <col min="11527" max="11527" width="10.54296875" style="23" bestFit="1" customWidth="1"/>
    <col min="11528" max="11528" width="14.81640625" style="23" bestFit="1" customWidth="1"/>
    <col min="11529" max="11529" width="11.08984375" style="23" bestFit="1" customWidth="1"/>
    <col min="11530" max="11782" width="9.08984375" style="23"/>
    <col min="11783" max="11783" width="10.54296875" style="23" bestFit="1" customWidth="1"/>
    <col min="11784" max="11784" width="14.81640625" style="23" bestFit="1" customWidth="1"/>
    <col min="11785" max="11785" width="11.08984375" style="23" bestFit="1" customWidth="1"/>
    <col min="11786" max="12038" width="9.08984375" style="23"/>
    <col min="12039" max="12039" width="10.54296875" style="23" bestFit="1" customWidth="1"/>
    <col min="12040" max="12040" width="14.81640625" style="23" bestFit="1" customWidth="1"/>
    <col min="12041" max="12041" width="11.08984375" style="23" bestFit="1" customWidth="1"/>
    <col min="12042" max="12294" width="9.08984375" style="23"/>
    <col min="12295" max="12295" width="10.54296875" style="23" bestFit="1" customWidth="1"/>
    <col min="12296" max="12296" width="14.81640625" style="23" bestFit="1" customWidth="1"/>
    <col min="12297" max="12297" width="11.08984375" style="23" bestFit="1" customWidth="1"/>
    <col min="12298" max="12550" width="9.08984375" style="23"/>
    <col min="12551" max="12551" width="10.54296875" style="23" bestFit="1" customWidth="1"/>
    <col min="12552" max="12552" width="14.81640625" style="23" bestFit="1" customWidth="1"/>
    <col min="12553" max="12553" width="11.08984375" style="23" bestFit="1" customWidth="1"/>
    <col min="12554" max="12806" width="9.08984375" style="23"/>
    <col min="12807" max="12807" width="10.54296875" style="23" bestFit="1" customWidth="1"/>
    <col min="12808" max="12808" width="14.81640625" style="23" bestFit="1" customWidth="1"/>
    <col min="12809" max="12809" width="11.08984375" style="23" bestFit="1" customWidth="1"/>
    <col min="12810" max="13062" width="9.08984375" style="23"/>
    <col min="13063" max="13063" width="10.54296875" style="23" bestFit="1" customWidth="1"/>
    <col min="13064" max="13064" width="14.81640625" style="23" bestFit="1" customWidth="1"/>
    <col min="13065" max="13065" width="11.08984375" style="23" bestFit="1" customWidth="1"/>
    <col min="13066" max="13318" width="9.08984375" style="23"/>
    <col min="13319" max="13319" width="10.54296875" style="23" bestFit="1" customWidth="1"/>
    <col min="13320" max="13320" width="14.81640625" style="23" bestFit="1" customWidth="1"/>
    <col min="13321" max="13321" width="11.08984375" style="23" bestFit="1" customWidth="1"/>
    <col min="13322" max="13574" width="9.08984375" style="23"/>
    <col min="13575" max="13575" width="10.54296875" style="23" bestFit="1" customWidth="1"/>
    <col min="13576" max="13576" width="14.81640625" style="23" bestFit="1" customWidth="1"/>
    <col min="13577" max="13577" width="11.08984375" style="23" bestFit="1" customWidth="1"/>
    <col min="13578" max="13830" width="9.08984375" style="23"/>
    <col min="13831" max="13831" width="10.54296875" style="23" bestFit="1" customWidth="1"/>
    <col min="13832" max="13832" width="14.81640625" style="23" bestFit="1" customWidth="1"/>
    <col min="13833" max="13833" width="11.08984375" style="23" bestFit="1" customWidth="1"/>
    <col min="13834" max="14086" width="9.08984375" style="23"/>
    <col min="14087" max="14087" width="10.54296875" style="23" bestFit="1" customWidth="1"/>
    <col min="14088" max="14088" width="14.81640625" style="23" bestFit="1" customWidth="1"/>
    <col min="14089" max="14089" width="11.08984375" style="23" bestFit="1" customWidth="1"/>
    <col min="14090" max="14342" width="9.08984375" style="23"/>
    <col min="14343" max="14343" width="10.54296875" style="23" bestFit="1" customWidth="1"/>
    <col min="14344" max="14344" width="14.81640625" style="23" bestFit="1" customWidth="1"/>
    <col min="14345" max="14345" width="11.08984375" style="23" bestFit="1" customWidth="1"/>
    <col min="14346" max="14598" width="9.08984375" style="23"/>
    <col min="14599" max="14599" width="10.54296875" style="23" bestFit="1" customWidth="1"/>
    <col min="14600" max="14600" width="14.81640625" style="23" bestFit="1" customWidth="1"/>
    <col min="14601" max="14601" width="11.08984375" style="23" bestFit="1" customWidth="1"/>
    <col min="14602" max="14854" width="9.08984375" style="23"/>
    <col min="14855" max="14855" width="10.54296875" style="23" bestFit="1" customWidth="1"/>
    <col min="14856" max="14856" width="14.81640625" style="23" bestFit="1" customWidth="1"/>
    <col min="14857" max="14857" width="11.08984375" style="23" bestFit="1" customWidth="1"/>
    <col min="14858" max="15110" width="9.08984375" style="23"/>
    <col min="15111" max="15111" width="10.54296875" style="23" bestFit="1" customWidth="1"/>
    <col min="15112" max="15112" width="14.81640625" style="23" bestFit="1" customWidth="1"/>
    <col min="15113" max="15113" width="11.08984375" style="23" bestFit="1" customWidth="1"/>
    <col min="15114" max="15366" width="9.08984375" style="23"/>
    <col min="15367" max="15367" width="10.54296875" style="23" bestFit="1" customWidth="1"/>
    <col min="15368" max="15368" width="14.81640625" style="23" bestFit="1" customWidth="1"/>
    <col min="15369" max="15369" width="11.08984375" style="23" bestFit="1" customWidth="1"/>
    <col min="15370" max="15622" width="9.08984375" style="23"/>
    <col min="15623" max="15623" width="10.54296875" style="23" bestFit="1" customWidth="1"/>
    <col min="15624" max="15624" width="14.81640625" style="23" bestFit="1" customWidth="1"/>
    <col min="15625" max="15625" width="11.08984375" style="23" bestFit="1" customWidth="1"/>
    <col min="15626" max="15878" width="9.08984375" style="23"/>
    <col min="15879" max="15879" width="10.54296875" style="23" bestFit="1" customWidth="1"/>
    <col min="15880" max="15880" width="14.81640625" style="23" bestFit="1" customWidth="1"/>
    <col min="15881" max="15881" width="11.08984375" style="23" bestFit="1" customWidth="1"/>
    <col min="15882" max="16134" width="9.08984375" style="23"/>
    <col min="16135" max="16135" width="10.54296875" style="23" bestFit="1" customWidth="1"/>
    <col min="16136" max="16136" width="14.81640625" style="23" bestFit="1" customWidth="1"/>
    <col min="16137" max="16137" width="11.08984375" style="23" bestFit="1" customWidth="1"/>
    <col min="16138" max="16384" width="9.08984375" style="23"/>
  </cols>
  <sheetData>
    <row r="1" spans="2:19" ht="18.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E32" sqref="E32"/>
    </sheetView>
  </sheetViews>
  <sheetFormatPr defaultColWidth="9.08984375" defaultRowHeight="14.5"/>
  <cols>
    <col min="1" max="1" width="9.08984375" style="23"/>
    <col min="2" max="2" width="12.54296875" style="23" customWidth="1"/>
    <col min="3" max="3" width="23.26953125" style="23" customWidth="1"/>
    <col min="4" max="4" width="21.26953125" style="23" bestFit="1" customWidth="1"/>
    <col min="5" max="5" width="29.81640625" style="23" bestFit="1" customWidth="1"/>
    <col min="6" max="6" width="16.54296875" style="23" bestFit="1" customWidth="1"/>
    <col min="7" max="8" width="13.26953125" style="23" bestFit="1" customWidth="1"/>
    <col min="9" max="9" width="15.08984375" style="23" bestFit="1" customWidth="1"/>
    <col min="10" max="10" width="13.26953125" style="23" bestFit="1" customWidth="1"/>
    <col min="11" max="11" width="14.08984375" style="23" customWidth="1"/>
    <col min="12" max="12" width="12.7265625" style="23" customWidth="1"/>
    <col min="13" max="13" width="19.08984375" style="23" customWidth="1"/>
    <col min="14" max="14" width="15.08984375" style="23" customWidth="1"/>
    <col min="15" max="15" width="10.54296875" style="23" customWidth="1"/>
    <col min="16" max="22" width="9.08984375" style="23"/>
    <col min="23" max="23" width="16" style="23" bestFit="1" customWidth="1"/>
    <col min="24" max="24" width="19.26953125" style="23" customWidth="1"/>
    <col min="25" max="25" width="38.54296875" style="23" bestFit="1" customWidth="1"/>
    <col min="26" max="16384" width="9.08984375" style="23"/>
  </cols>
  <sheetData>
    <row r="1" spans="2:20" ht="18.5">
      <c r="B1" s="3" t="s">
        <v>544</v>
      </c>
      <c r="C1" s="4"/>
      <c r="D1" s="4"/>
    </row>
    <row r="3" spans="2:20" ht="18.5">
      <c r="G3" s="257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556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556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562</v>
      </c>
      <c r="S9" s="23" t="s">
        <v>563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531</v>
      </c>
      <c r="D24" s="246"/>
      <c r="E24" s="246"/>
      <c r="F24" s="247"/>
      <c r="G24" s="466" t="s">
        <v>527</v>
      </c>
      <c r="H24" s="466"/>
      <c r="I24" s="466"/>
      <c r="J24" s="467"/>
      <c r="K24" s="468" t="s">
        <v>528</v>
      </c>
      <c r="L24" s="469"/>
      <c r="M24" s="470" t="s">
        <v>529</v>
      </c>
      <c r="N24" s="469"/>
      <c r="S24"/>
    </row>
    <row r="25" spans="3:21">
      <c r="C25" s="241" t="s">
        <v>530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517</v>
      </c>
      <c r="D26" s="233" t="s">
        <v>516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519</v>
      </c>
      <c r="D27" s="233" t="s">
        <v>521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518</v>
      </c>
      <c r="D28" s="237" t="s">
        <v>522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532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523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524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525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533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526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526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526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531</v>
      </c>
      <c r="D42" s="246"/>
      <c r="E42" s="246"/>
      <c r="F42" s="247"/>
      <c r="G42" s="466" t="s">
        <v>527</v>
      </c>
      <c r="H42" s="466"/>
      <c r="I42" s="466"/>
      <c r="J42" s="467"/>
      <c r="K42" s="468" t="s">
        <v>528</v>
      </c>
      <c r="L42" s="469"/>
      <c r="M42" s="470" t="s">
        <v>555</v>
      </c>
      <c r="N42" s="469"/>
      <c r="O42"/>
    </row>
    <row r="43" spans="3:20">
      <c r="C43" s="241" t="s">
        <v>547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517</v>
      </c>
      <c r="D44" s="233" t="s">
        <v>548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519</v>
      </c>
      <c r="D45" s="233" t="s">
        <v>549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518</v>
      </c>
      <c r="D46" s="237" t="s">
        <v>550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532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551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552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553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533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554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554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554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926-DECD-4DB2-B495-3F9BFC1DFD4C}">
  <dimension ref="B2:J18"/>
  <sheetViews>
    <sheetView workbookViewId="0">
      <selection activeCell="D5" sqref="D5"/>
    </sheetView>
  </sheetViews>
  <sheetFormatPr defaultRowHeight="14.5"/>
  <cols>
    <col min="2" max="2" width="14.7265625" customWidth="1"/>
    <col min="3" max="3" width="19.81640625" customWidth="1"/>
    <col min="4" max="4" width="26.81640625" customWidth="1"/>
    <col min="5" max="5" width="15.7265625" bestFit="1" customWidth="1"/>
    <col min="6" max="6" width="22" customWidth="1"/>
    <col min="7" max="7" width="18.7265625" customWidth="1"/>
    <col min="9" max="9" width="13.08984375" bestFit="1" customWidth="1"/>
    <col min="11" max="11" width="16.26953125" customWidth="1"/>
  </cols>
  <sheetData>
    <row r="2" spans="2:10">
      <c r="B2" s="169" t="s">
        <v>0</v>
      </c>
      <c r="C2" s="169"/>
      <c r="D2" s="170"/>
      <c r="E2" s="170"/>
      <c r="F2" s="170"/>
      <c r="G2" s="170"/>
      <c r="H2" s="170"/>
      <c r="I2" s="170"/>
      <c r="J2" s="170"/>
    </row>
    <row r="3" spans="2:10" ht="15" thickBot="1">
      <c r="B3" s="166" t="s">
        <v>1</v>
      </c>
      <c r="C3" s="166" t="s">
        <v>513</v>
      </c>
      <c r="D3" s="166" t="s">
        <v>2</v>
      </c>
      <c r="E3" s="166" t="s">
        <v>3</v>
      </c>
      <c r="F3" s="166" t="s">
        <v>4</v>
      </c>
      <c r="G3" s="166" t="s">
        <v>5</v>
      </c>
      <c r="H3" s="166" t="s">
        <v>6</v>
      </c>
      <c r="I3" s="166" t="s">
        <v>7</v>
      </c>
      <c r="J3" s="166" t="s">
        <v>8</v>
      </c>
    </row>
    <row r="4" spans="2:10" ht="52">
      <c r="B4" s="172" t="s">
        <v>133</v>
      </c>
      <c r="C4" s="171"/>
      <c r="D4" s="171" t="s">
        <v>351</v>
      </c>
      <c r="E4" s="171" t="s">
        <v>280</v>
      </c>
      <c r="F4" s="171" t="s">
        <v>352</v>
      </c>
      <c r="G4" s="171" t="s">
        <v>353</v>
      </c>
      <c r="H4" s="171" t="s">
        <v>354</v>
      </c>
      <c r="I4" s="173" t="s">
        <v>355</v>
      </c>
      <c r="J4" s="173" t="s">
        <v>134</v>
      </c>
    </row>
    <row r="5" spans="2:10">
      <c r="B5" t="s">
        <v>9</v>
      </c>
      <c r="C5" t="str">
        <f>_xlfn.TEXTJOIN(",",TRUE,IF(LEFT(Regions!$C$3,1)&lt;&gt;"*",Regions!$C$3,""),IF(LEFT(Regions!$D$3,1)&lt;&gt;"*",Regions!$D$3,""))</f>
        <v>IE,National</v>
      </c>
      <c r="D5" t="s">
        <v>630</v>
      </c>
      <c r="E5" s="439" t="s">
        <v>651</v>
      </c>
      <c r="F5" t="s">
        <v>10</v>
      </c>
      <c r="G5" t="s">
        <v>629</v>
      </c>
    </row>
    <row r="6" spans="2:10">
      <c r="E6" s="439"/>
    </row>
    <row r="9" spans="2:10">
      <c r="E9" s="169" t="s">
        <v>58</v>
      </c>
      <c r="G9" s="2"/>
    </row>
    <row r="10" spans="2:10" ht="15" thickBot="1">
      <c r="B10" s="166" t="s">
        <v>513</v>
      </c>
      <c r="C10" s="166" t="s">
        <v>2</v>
      </c>
      <c r="D10" s="166" t="s">
        <v>3</v>
      </c>
      <c r="E10" s="166" t="s">
        <v>38</v>
      </c>
      <c r="F10" s="166" t="s">
        <v>51</v>
      </c>
      <c r="G10" s="166" t="s">
        <v>631</v>
      </c>
    </row>
    <row r="11" spans="2:10">
      <c r="B11" s="172" t="s">
        <v>515</v>
      </c>
      <c r="C11" s="172" t="s">
        <v>46</v>
      </c>
      <c r="D11" s="172" t="s">
        <v>47</v>
      </c>
      <c r="E11" s="172"/>
      <c r="F11" s="172" t="s">
        <v>10</v>
      </c>
      <c r="G11" s="172" t="s">
        <v>54</v>
      </c>
    </row>
    <row r="12" spans="2:10">
      <c r="B12" s="2" t="str">
        <f>Processes!C60</f>
        <v>IE,National</v>
      </c>
      <c r="C12" s="2" t="str">
        <f>D5</f>
        <v>MINCO2-CAL</v>
      </c>
      <c r="D12" s="439" t="s">
        <v>651</v>
      </c>
      <c r="E12" s="259" t="s">
        <v>632</v>
      </c>
      <c r="F12" s="55">
        <v>1000000</v>
      </c>
      <c r="G12" s="440">
        <v>1E-4</v>
      </c>
    </row>
    <row r="13" spans="2:10">
      <c r="E13" t="s">
        <v>633</v>
      </c>
    </row>
    <row r="14" spans="2:10">
      <c r="E14" t="s">
        <v>634</v>
      </c>
    </row>
    <row r="15" spans="2:10">
      <c r="E15" t="s">
        <v>635</v>
      </c>
    </row>
    <row r="16" spans="2:10">
      <c r="E16" t="s">
        <v>636</v>
      </c>
    </row>
    <row r="17" spans="2:7">
      <c r="E17" t="s">
        <v>637</v>
      </c>
    </row>
    <row r="18" spans="2:7">
      <c r="B18" s="23"/>
      <c r="C18" s="23"/>
      <c r="D18" s="23"/>
      <c r="E18" t="s">
        <v>638</v>
      </c>
      <c r="F18" s="23"/>
      <c r="G18" s="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79"/>
  <sheetViews>
    <sheetView zoomScaleNormal="100" workbookViewId="0">
      <selection activeCell="I62" sqref="I62"/>
    </sheetView>
  </sheetViews>
  <sheetFormatPr defaultColWidth="9.08984375" defaultRowHeight="14.5"/>
  <cols>
    <col min="1" max="1" width="3.81640625" style="23" customWidth="1"/>
    <col min="2" max="2" width="9.36328125" style="23" customWidth="1"/>
    <col min="3" max="3" width="14.453125" style="23" customWidth="1"/>
    <col min="4" max="4" width="31.90625" style="23" customWidth="1"/>
    <col min="5" max="5" width="11.36328125" style="23" customWidth="1"/>
    <col min="6" max="13" width="10.81640625" style="23" customWidth="1"/>
    <col min="14" max="14" width="12.81640625" style="23" customWidth="1"/>
    <col min="15" max="16" width="13" style="23" customWidth="1"/>
    <col min="17" max="17" width="21.81640625" style="23" customWidth="1"/>
    <col min="18" max="18" width="29.54296875" style="23" bestFit="1" customWidth="1"/>
    <col min="19" max="22" width="9.08984375" style="23"/>
    <col min="23" max="23" width="14.54296875" style="23" bestFit="1" customWidth="1"/>
    <col min="24" max="24" width="29.54296875" style="23" bestFit="1" customWidth="1"/>
    <col min="25" max="16384" width="9.08984375" style="23"/>
  </cols>
  <sheetData>
    <row r="2" spans="2:12" ht="18.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65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448" t="str">
        <f>Processes!C32</f>
        <v>IE,National</v>
      </c>
      <c r="C13" s="448" t="str">
        <f>Processes!D32</f>
        <v>IMPBIOWPE_S1</v>
      </c>
      <c r="D13" s="448" t="str">
        <f>Processes!E32</f>
        <v>Import of Wood Pellets  - Step 1</v>
      </c>
      <c r="E13" s="448" t="str">
        <f>Commodities!$C$41</f>
        <v>BIOWPE</v>
      </c>
      <c r="F13" s="445">
        <f t="shared" ref="F13:K13" si="0">$F$67</f>
        <v>9.6388888888888893</v>
      </c>
      <c r="G13" s="445">
        <f t="shared" si="0"/>
        <v>9.6388888888888893</v>
      </c>
      <c r="H13" s="445">
        <f t="shared" si="0"/>
        <v>9.6388888888888893</v>
      </c>
      <c r="I13" s="445">
        <f t="shared" si="0"/>
        <v>9.6388888888888893</v>
      </c>
      <c r="J13" s="445">
        <f t="shared" si="0"/>
        <v>9.6388888888888893</v>
      </c>
      <c r="K13" s="445">
        <f t="shared" si="0"/>
        <v>9.6388888888888893</v>
      </c>
      <c r="L13" s="448"/>
    </row>
    <row r="14" spans="2:12">
      <c r="B14" s="448" t="str">
        <f>Processes!C33</f>
        <v>IE,National</v>
      </c>
      <c r="C14" s="448" t="str">
        <f>Processes!D33</f>
        <v>IMPBIOWPE_S2</v>
      </c>
      <c r="D14" s="448" t="str">
        <f>Processes!E33</f>
        <v>Import of Wood Pellets  - Step 2</v>
      </c>
      <c r="E14" s="448" t="str">
        <f>Commodities!$C$41</f>
        <v>BIOWPE</v>
      </c>
      <c r="F14" s="445">
        <f t="shared" ref="F14:K14" si="1">$F$68</f>
        <v>9.6388888888888893</v>
      </c>
      <c r="G14" s="445">
        <f t="shared" si="1"/>
        <v>9.6388888888888893</v>
      </c>
      <c r="H14" s="445">
        <f t="shared" si="1"/>
        <v>9.6388888888888893</v>
      </c>
      <c r="I14" s="445">
        <f t="shared" si="1"/>
        <v>9.6388888888888893</v>
      </c>
      <c r="J14" s="445">
        <f t="shared" si="1"/>
        <v>9.6388888888888893</v>
      </c>
      <c r="K14" s="445">
        <f t="shared" si="1"/>
        <v>9.6388888888888893</v>
      </c>
      <c r="L14" s="448"/>
    </row>
    <row r="15" spans="2:12">
      <c r="B15" s="448" t="str">
        <f>Processes!C34</f>
        <v>IE,National</v>
      </c>
      <c r="C15" s="448" t="str">
        <f>Processes!D34</f>
        <v>IMPBIOWPE_S3</v>
      </c>
      <c r="D15" s="448" t="str">
        <f>Processes!E34</f>
        <v>Import of Wood Pellets  - Step 3</v>
      </c>
      <c r="E15" s="448" t="str">
        <f>Commodities!$C$41</f>
        <v>BIOWPE</v>
      </c>
      <c r="F15" s="445">
        <f t="shared" ref="F15:K15" si="2">$F$69</f>
        <v>10.166666666666666</v>
      </c>
      <c r="G15" s="445">
        <f t="shared" si="2"/>
        <v>10.166666666666666</v>
      </c>
      <c r="H15" s="445">
        <f t="shared" si="2"/>
        <v>10.166666666666666</v>
      </c>
      <c r="I15" s="445">
        <f t="shared" si="2"/>
        <v>10.166666666666666</v>
      </c>
      <c r="J15" s="445">
        <f t="shared" si="2"/>
        <v>10.166666666666666</v>
      </c>
      <c r="K15" s="445">
        <f t="shared" si="2"/>
        <v>10.166666666666666</v>
      </c>
      <c r="L15" s="448"/>
    </row>
    <row r="16" spans="2:12">
      <c r="B16" s="443" t="str">
        <f>Processes!C35</f>
        <v>IE,National</v>
      </c>
      <c r="C16" s="443" t="str">
        <f>Processes!D35</f>
        <v>IMPBIOWPE_S4</v>
      </c>
      <c r="D16" s="443" t="str">
        <f>Processes!E35</f>
        <v>Import of Wood Pellets  - Step 4</v>
      </c>
      <c r="E16" s="443" t="str">
        <f>Commodities!$C$41</f>
        <v>BIOWPE</v>
      </c>
      <c r="F16" s="447">
        <f t="shared" ref="F16:K16" si="3">$F$70</f>
        <v>11.194444444444443</v>
      </c>
      <c r="G16" s="447">
        <f t="shared" si="3"/>
        <v>11.194444444444443</v>
      </c>
      <c r="H16" s="447">
        <f t="shared" si="3"/>
        <v>11.194444444444443</v>
      </c>
      <c r="I16" s="447">
        <f t="shared" si="3"/>
        <v>11.194444444444443</v>
      </c>
      <c r="J16" s="447">
        <f t="shared" si="3"/>
        <v>11.194444444444443</v>
      </c>
      <c r="K16" s="447">
        <f t="shared" si="3"/>
        <v>11.194444444444443</v>
      </c>
      <c r="L16" s="443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24.9" customHeight="1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" thickBot="1">
      <c r="B30" s="43" t="str">
        <f t="shared" ref="B30" si="4">B13</f>
        <v>IE,National</v>
      </c>
      <c r="C30" s="43" t="str">
        <f t="shared" ref="C30:D30" si="5">C13</f>
        <v>IMPBIOWPE_S1</v>
      </c>
      <c r="D30" s="43" t="str">
        <f t="shared" si="5"/>
        <v>Import of Wood Pellets  - Step 1</v>
      </c>
      <c r="E30" s="22" t="str">
        <f>Commodities!$C$41</f>
        <v>BIOWPE</v>
      </c>
      <c r="F30" s="94">
        <f t="shared" ref="F30:F37" si="6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71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7">B14</f>
        <v>IE,National</v>
      </c>
      <c r="C31" s="21" t="str">
        <f t="shared" ref="C31:D31" si="8">C14</f>
        <v>IMPBIOWPE_S2</v>
      </c>
      <c r="D31" s="21" t="str">
        <f t="shared" si="8"/>
        <v>Import of Wood Pellets  - Step 2</v>
      </c>
      <c r="E31" s="22" t="str">
        <f>Commodities!$C$41</f>
        <v>BIOWPE</v>
      </c>
      <c r="F31" s="41">
        <f t="shared" si="6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72"/>
      <c r="N31" s="152"/>
      <c r="O31" s="149"/>
      <c r="P31" s="149"/>
      <c r="Q31" s="149"/>
    </row>
    <row r="32" spans="2:18">
      <c r="B32" s="21" t="str">
        <f t="shared" ref="B32" si="9">B15</f>
        <v>IE,National</v>
      </c>
      <c r="C32" s="21" t="str">
        <f t="shared" ref="C32:D32" si="10">C15</f>
        <v>IMPBIOWPE_S3</v>
      </c>
      <c r="D32" s="21" t="str">
        <f t="shared" si="10"/>
        <v>Import of Wood Pellets  - Step 3</v>
      </c>
      <c r="E32" s="22" t="str">
        <f>Commodities!$C$41</f>
        <v>BIOWPE</v>
      </c>
      <c r="F32" s="41">
        <f t="shared" si="6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72"/>
      <c r="M32" s="22"/>
    </row>
    <row r="33" spans="2:23">
      <c r="B33" s="45" t="str">
        <f t="shared" ref="B33" si="11">B16</f>
        <v>IE,National</v>
      </c>
      <c r="C33" s="45" t="str">
        <f t="shared" ref="C33:D33" si="12">C16</f>
        <v>IMPBIOWPE_S4</v>
      </c>
      <c r="D33" s="45" t="str">
        <f t="shared" si="12"/>
        <v>Import of Wood Pellets  - Step 4</v>
      </c>
      <c r="E33" s="39" t="str">
        <f>Commodities!$C$41</f>
        <v>BIOWPE</v>
      </c>
      <c r="F33" s="28">
        <f t="shared" si="6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72"/>
      <c r="M33" s="22"/>
    </row>
    <row r="34" spans="2:23">
      <c r="B34" s="95" t="str">
        <f t="shared" ref="B34" si="13">B17</f>
        <v>IE,National</v>
      </c>
      <c r="C34" s="95" t="str">
        <f t="shared" ref="C34:D34" si="14">C17</f>
        <v>IMPBIOWCH_S1</v>
      </c>
      <c r="D34" s="95" t="str">
        <f t="shared" si="14"/>
        <v>Import of Wood Chip  - Step 1</v>
      </c>
      <c r="E34" s="22" t="str">
        <f>Commodities!$C$42</f>
        <v>BIOWCH</v>
      </c>
      <c r="F34" s="96">
        <f t="shared" si="6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72"/>
      <c r="M34" s="22"/>
    </row>
    <row r="35" spans="2:23">
      <c r="B35" s="21" t="str">
        <f t="shared" ref="B35" si="15">B18</f>
        <v>IE,National</v>
      </c>
      <c r="C35" s="21" t="str">
        <f t="shared" ref="C35:D35" si="16">C18</f>
        <v>IMPBIOWCH_S2</v>
      </c>
      <c r="D35" s="21" t="str">
        <f t="shared" si="16"/>
        <v>Import of Wood Chip  - Step 2</v>
      </c>
      <c r="E35" s="22" t="str">
        <f>Commodities!$C$42</f>
        <v>BIOWCH</v>
      </c>
      <c r="F35" s="41">
        <f t="shared" si="6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72"/>
      <c r="M35" s="22"/>
    </row>
    <row r="36" spans="2:23">
      <c r="B36" s="21" t="str">
        <f t="shared" ref="B36" si="17">B19</f>
        <v>IE,National</v>
      </c>
      <c r="C36" s="21" t="str">
        <f t="shared" ref="C36:D36" si="18">C19</f>
        <v>IMPBIOWCH_S3</v>
      </c>
      <c r="D36" s="21" t="str">
        <f t="shared" si="18"/>
        <v>Import of Wood Chip  - Step 3</v>
      </c>
      <c r="E36" s="22" t="str">
        <f>Commodities!$C$42</f>
        <v>BIOWCH</v>
      </c>
      <c r="F36" s="41">
        <f t="shared" si="6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72"/>
      <c r="M36" s="22"/>
    </row>
    <row r="37" spans="2:23">
      <c r="B37" s="45" t="str">
        <f t="shared" ref="B37" si="19">B20</f>
        <v>IE,National</v>
      </c>
      <c r="C37" s="45" t="str">
        <f t="shared" ref="C37:D37" si="20">C20</f>
        <v>IMPBIOWCH_S4</v>
      </c>
      <c r="D37" s="45" t="str">
        <f t="shared" si="20"/>
        <v>Import of Wood Chip  - Step 4</v>
      </c>
      <c r="E37" s="39" t="str">
        <f>Commodities!$C$42</f>
        <v>BIOWCH</v>
      </c>
      <c r="F37" s="28">
        <f t="shared" si="6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73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26.65" customHeight="1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21">G43</f>
        <v>0.95614079147278108</v>
      </c>
      <c r="I43" s="52">
        <f t="shared" si="21"/>
        <v>0.95614079147278108</v>
      </c>
      <c r="J43" s="52">
        <f t="shared" si="21"/>
        <v>0.95614079147278108</v>
      </c>
      <c r="K43" s="52">
        <f t="shared" si="21"/>
        <v>0.95614079147278108</v>
      </c>
      <c r="L43" s="52">
        <f t="shared" si="21"/>
        <v>0.95614079147278108</v>
      </c>
      <c r="M43" s="52">
        <f t="shared" si="21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22">H43*2</f>
        <v>1.9122815829455622</v>
      </c>
      <c r="I44" s="50">
        <f t="shared" si="22"/>
        <v>1.9122815829455622</v>
      </c>
      <c r="J44" s="50">
        <f t="shared" si="22"/>
        <v>1.9122815829455622</v>
      </c>
      <c r="K44" s="50">
        <f t="shared" si="22"/>
        <v>1.9122815829455622</v>
      </c>
      <c r="L44" s="50">
        <f t="shared" si="22"/>
        <v>1.9122815829455622</v>
      </c>
      <c r="M44" s="50">
        <f t="shared" si="22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22"/>
        <v>3.8245631658911243</v>
      </c>
      <c r="I45" s="50">
        <f t="shared" si="22"/>
        <v>3.8245631658911243</v>
      </c>
      <c r="J45" s="50">
        <f t="shared" si="22"/>
        <v>3.8245631658911243</v>
      </c>
      <c r="K45" s="50">
        <f t="shared" si="22"/>
        <v>3.8245631658911243</v>
      </c>
      <c r="L45" s="50">
        <f t="shared" si="22"/>
        <v>3.8245631658911243</v>
      </c>
      <c r="M45" s="50">
        <f t="shared" si="22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23">J47</f>
        <v>59.810866344000004</v>
      </c>
      <c r="L47" s="53">
        <f t="shared" si="23"/>
        <v>59.810866344000004</v>
      </c>
      <c r="M47" s="53">
        <f t="shared" si="23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4">G48</f>
        <v>4.3883698143827266</v>
      </c>
      <c r="I48" s="52">
        <f t="shared" si="24"/>
        <v>4.3883698143827266</v>
      </c>
      <c r="J48" s="52">
        <f t="shared" si="24"/>
        <v>4.3883698143827266</v>
      </c>
      <c r="K48" s="52">
        <f t="shared" si="24"/>
        <v>4.3883698143827266</v>
      </c>
      <c r="L48" s="52">
        <f t="shared" si="24"/>
        <v>4.3883698143827266</v>
      </c>
      <c r="M48" s="52">
        <f t="shared" si="24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5">H48*2</f>
        <v>8.7767396287654531</v>
      </c>
      <c r="I49" s="50">
        <f t="shared" si="25"/>
        <v>8.7767396287654531</v>
      </c>
      <c r="J49" s="50">
        <f t="shared" si="25"/>
        <v>8.7767396287654531</v>
      </c>
      <c r="K49" s="50">
        <f t="shared" si="25"/>
        <v>8.7767396287654531</v>
      </c>
      <c r="L49" s="50">
        <f t="shared" si="25"/>
        <v>8.7767396287654531</v>
      </c>
      <c r="M49" s="50">
        <f t="shared" si="25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5"/>
        <v>17.553479257530906</v>
      </c>
      <c r="I50" s="50">
        <f t="shared" si="25"/>
        <v>17.553479257530906</v>
      </c>
      <c r="J50" s="50">
        <f t="shared" si="25"/>
        <v>17.553479257530906</v>
      </c>
      <c r="K50" s="50">
        <f t="shared" si="25"/>
        <v>17.553479257530906</v>
      </c>
      <c r="L50" s="50">
        <f t="shared" si="25"/>
        <v>17.553479257530906</v>
      </c>
      <c r="M50" s="50">
        <f t="shared" si="25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6">H52-SUM(H48:H50)</f>
        <v>72.040001193884791</v>
      </c>
      <c r="I51" s="51">
        <f t="shared" si="26"/>
        <v>72.040001193884791</v>
      </c>
      <c r="J51" s="51">
        <f t="shared" si="26"/>
        <v>72.040001193884791</v>
      </c>
      <c r="K51" s="51">
        <f t="shared" si="26"/>
        <v>72.040001193884791</v>
      </c>
      <c r="L51" s="51">
        <f t="shared" si="26"/>
        <v>72.040001193884791</v>
      </c>
      <c r="M51" s="51">
        <f t="shared" si="26"/>
        <v>72.040001193884791</v>
      </c>
      <c r="N51" s="198">
        <v>5</v>
      </c>
      <c r="O51" s="63" t="s">
        <v>217</v>
      </c>
      <c r="P51" s="51"/>
      <c r="R51" s="25"/>
    </row>
    <row r="52" spans="2:18" ht="15" thickBot="1">
      <c r="B52" s="46" t="s">
        <v>79</v>
      </c>
      <c r="C52" s="46"/>
      <c r="D52" s="46"/>
      <c r="E52" s="48"/>
      <c r="F52" s="53"/>
      <c r="G52" s="54">
        <f>H52</f>
        <v>102.75858989456388</v>
      </c>
      <c r="H52" s="54">
        <f>I52</f>
        <v>102.75858989456388</v>
      </c>
      <c r="I52" s="54">
        <f>2727.05194883825*Conversions!$C$2*0.9</f>
        <v>102.75858989456388</v>
      </c>
      <c r="J52" s="54">
        <f>I52</f>
        <v>102.75858989456388</v>
      </c>
      <c r="K52" s="54">
        <f t="shared" ref="K52:M52" si="27">J52</f>
        <v>102.75858989456388</v>
      </c>
      <c r="L52" s="54">
        <f t="shared" si="27"/>
        <v>102.75858989456388</v>
      </c>
      <c r="M52" s="54">
        <f t="shared" si="27"/>
        <v>102.75858989456388</v>
      </c>
      <c r="N52" s="199"/>
      <c r="O52" s="64" t="s">
        <v>214</v>
      </c>
      <c r="P52" s="53"/>
      <c r="R52" s="25"/>
    </row>
    <row r="53" spans="2:18">
      <c r="B53" s="446" t="str">
        <f>Imports_Bio!B13</f>
        <v>IE,National</v>
      </c>
      <c r="C53" s="446" t="str">
        <f>Imports_Bio!C13</f>
        <v>IMPBIOWPE_S1</v>
      </c>
      <c r="D53" s="446" t="str">
        <f>Imports_Bio!D13</f>
        <v>Import of Wood Pellets  - Step 1</v>
      </c>
      <c r="E53" s="448" t="str">
        <f>Commodities!$C$41</f>
        <v>BIOWPE</v>
      </c>
      <c r="F53" s="444">
        <f>'EB2018'!AE3*Conversions!$C$2*Imports_Bio!$R$53</f>
        <v>0.71165055175994518</v>
      </c>
      <c r="G53" s="445">
        <f>G67</f>
        <v>1.8</v>
      </c>
      <c r="H53" s="445">
        <f t="shared" ref="H53:M53" si="28">H67</f>
        <v>1.8</v>
      </c>
      <c r="I53" s="445">
        <f t="shared" si="28"/>
        <v>1.8</v>
      </c>
      <c r="J53" s="445">
        <f t="shared" si="28"/>
        <v>1.8</v>
      </c>
      <c r="K53" s="445">
        <f t="shared" si="28"/>
        <v>3.6</v>
      </c>
      <c r="L53" s="445">
        <f t="shared" si="28"/>
        <v>7.2</v>
      </c>
      <c r="M53" s="445">
        <f t="shared" si="28"/>
        <v>7.2</v>
      </c>
      <c r="N53" s="442">
        <v>5</v>
      </c>
      <c r="O53" s="441" t="s">
        <v>218</v>
      </c>
      <c r="P53" s="52"/>
      <c r="R53" s="147">
        <v>0.7</v>
      </c>
    </row>
    <row r="54" spans="2:18">
      <c r="B54" s="449" t="str">
        <f>Imports_Bio!B14</f>
        <v>IE,National</v>
      </c>
      <c r="C54" s="449" t="str">
        <f>Imports_Bio!C14</f>
        <v>IMPBIOWPE_S2</v>
      </c>
      <c r="D54" s="449" t="str">
        <f>Imports_Bio!D14</f>
        <v>Import of Wood Pellets  - Step 2</v>
      </c>
      <c r="E54" s="448" t="str">
        <f>Commodities!$C$41</f>
        <v>BIOWPE</v>
      </c>
      <c r="F54" s="450">
        <v>0</v>
      </c>
      <c r="G54" s="445">
        <f t="shared" ref="G54:M56" si="29">G68</f>
        <v>0</v>
      </c>
      <c r="H54" s="445">
        <f t="shared" si="29"/>
        <v>3.6</v>
      </c>
      <c r="I54" s="445">
        <f t="shared" si="29"/>
        <v>18</v>
      </c>
      <c r="J54" s="445">
        <f t="shared" si="29"/>
        <v>36</v>
      </c>
      <c r="K54" s="445">
        <f t="shared" si="29"/>
        <v>54</v>
      </c>
      <c r="L54" s="445">
        <f t="shared" si="29"/>
        <v>61.2</v>
      </c>
      <c r="M54" s="445">
        <f t="shared" si="29"/>
        <v>61.2</v>
      </c>
      <c r="N54" s="451">
        <v>5</v>
      </c>
      <c r="O54" s="452" t="s">
        <v>647</v>
      </c>
      <c r="P54" s="50"/>
      <c r="R54" s="25"/>
    </row>
    <row r="55" spans="2:18">
      <c r="B55" s="449" t="str">
        <f>Imports_Bio!B15</f>
        <v>IE,National</v>
      </c>
      <c r="C55" s="449" t="str">
        <f>Imports_Bio!C15</f>
        <v>IMPBIOWPE_S3</v>
      </c>
      <c r="D55" s="449" t="str">
        <f>Imports_Bio!D15</f>
        <v>Import of Wood Pellets  - Step 3</v>
      </c>
      <c r="E55" s="448" t="str">
        <f>Commodities!$C$41</f>
        <v>BIOWPE</v>
      </c>
      <c r="F55" s="450">
        <v>0</v>
      </c>
      <c r="G55" s="445">
        <f t="shared" si="29"/>
        <v>0</v>
      </c>
      <c r="H55" s="445">
        <f t="shared" si="29"/>
        <v>0</v>
      </c>
      <c r="I55" s="445">
        <f t="shared" si="29"/>
        <v>54</v>
      </c>
      <c r="J55" s="445">
        <f t="shared" si="29"/>
        <v>54</v>
      </c>
      <c r="K55" s="445">
        <f t="shared" si="29"/>
        <v>54</v>
      </c>
      <c r="L55" s="445">
        <f t="shared" si="29"/>
        <v>54</v>
      </c>
      <c r="M55" s="445">
        <f t="shared" si="29"/>
        <v>54</v>
      </c>
      <c r="N55" s="451">
        <v>5</v>
      </c>
      <c r="O55" s="452" t="s">
        <v>647</v>
      </c>
      <c r="P55" s="50"/>
      <c r="R55" s="25"/>
    </row>
    <row r="56" spans="2:18">
      <c r="B56" s="453" t="str">
        <f>B55</f>
        <v>IE,National</v>
      </c>
      <c r="C56" s="449" t="str">
        <f>Imports_Bio!C16</f>
        <v>IMPBIOWPE_S4</v>
      </c>
      <c r="D56" s="453" t="str">
        <f>Imports_Bio!D16</f>
        <v>Import of Wood Pellets  - Step 4</v>
      </c>
      <c r="E56" s="443" t="str">
        <f>Commodities!$C$41</f>
        <v>BIOWPE</v>
      </c>
      <c r="F56" s="454">
        <v>0</v>
      </c>
      <c r="G56" s="447">
        <f t="shared" si="29"/>
        <v>0</v>
      </c>
      <c r="H56" s="447">
        <f t="shared" si="29"/>
        <v>0</v>
      </c>
      <c r="I56" s="447">
        <f t="shared" si="29"/>
        <v>0</v>
      </c>
      <c r="J56" s="447">
        <f t="shared" si="29"/>
        <v>3.6</v>
      </c>
      <c r="K56" s="447">
        <f t="shared" si="29"/>
        <v>36</v>
      </c>
      <c r="L56" s="447">
        <f t="shared" si="29"/>
        <v>36</v>
      </c>
      <c r="M56" s="447">
        <f t="shared" si="29"/>
        <v>36</v>
      </c>
      <c r="N56" s="455">
        <v>5</v>
      </c>
      <c r="O56" s="452" t="s">
        <v>647</v>
      </c>
      <c r="P56" s="51"/>
      <c r="R56" s="25"/>
    </row>
    <row r="57" spans="2:18" ht="15" thickBot="1">
      <c r="B57" s="46" t="s">
        <v>79</v>
      </c>
      <c r="C57" s="46"/>
      <c r="D57" s="46"/>
      <c r="E57" s="47"/>
      <c r="F57" s="462"/>
      <c r="G57" s="462">
        <f>SUM(G53:G56)</f>
        <v>1.8</v>
      </c>
      <c r="H57" s="462">
        <f t="shared" ref="H57:M57" si="30">SUM(H53:H56)</f>
        <v>5.4</v>
      </c>
      <c r="I57" s="462">
        <f t="shared" si="30"/>
        <v>73.8</v>
      </c>
      <c r="J57" s="462">
        <f t="shared" si="30"/>
        <v>95.399999999999991</v>
      </c>
      <c r="K57" s="462">
        <f t="shared" si="30"/>
        <v>147.6</v>
      </c>
      <c r="L57" s="462">
        <f t="shared" si="30"/>
        <v>158.4</v>
      </c>
      <c r="M57" s="462">
        <f t="shared" si="30"/>
        <v>158.4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31">H58</f>
        <v>0.30499309361140514</v>
      </c>
      <c r="J58" s="52">
        <f t="shared" si="31"/>
        <v>0.30499309361140514</v>
      </c>
      <c r="K58" s="52">
        <f t="shared" si="31"/>
        <v>0.30499309361140514</v>
      </c>
      <c r="L58" s="52">
        <f t="shared" si="31"/>
        <v>0.30499309361140514</v>
      </c>
      <c r="M58" s="52">
        <f t="shared" si="31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21" t="str">
        <f>Imports_Bio!B18</f>
        <v>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32">H58*2</f>
        <v>0.60998618722281028</v>
      </c>
      <c r="I59" s="50">
        <f t="shared" si="32"/>
        <v>0.60998618722281028</v>
      </c>
      <c r="J59" s="50">
        <f t="shared" si="32"/>
        <v>0.60998618722281028</v>
      </c>
      <c r="K59" s="50">
        <f t="shared" si="32"/>
        <v>0.60998618722281028</v>
      </c>
      <c r="L59" s="50">
        <f t="shared" si="32"/>
        <v>0.60998618722281028</v>
      </c>
      <c r="M59" s="50">
        <f t="shared" si="32"/>
        <v>0.60998618722281028</v>
      </c>
      <c r="N59" s="197">
        <v>5</v>
      </c>
      <c r="O59" s="62" t="s">
        <v>215</v>
      </c>
      <c r="P59" s="50"/>
      <c r="R59" s="25"/>
    </row>
    <row r="60" spans="2:18">
      <c r="B60" s="21" t="str">
        <f>Imports_Bio!B19</f>
        <v>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32"/>
        <v>1.2199723744456206</v>
      </c>
      <c r="I60" s="50">
        <f t="shared" si="32"/>
        <v>1.2199723744456206</v>
      </c>
      <c r="J60" s="50">
        <f t="shared" si="32"/>
        <v>1.2199723744456206</v>
      </c>
      <c r="K60" s="50">
        <f t="shared" si="32"/>
        <v>1.2199723744456206</v>
      </c>
      <c r="L60" s="50">
        <f t="shared" si="32"/>
        <v>1.2199723744456206</v>
      </c>
      <c r="M60" s="50">
        <f t="shared" si="32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3">H62-SUM(H58:H60)</f>
        <v>34.580521056720166</v>
      </c>
      <c r="I61" s="51">
        <f t="shared" si="33"/>
        <v>34.580521056720166</v>
      </c>
      <c r="J61" s="51">
        <f t="shared" si="33"/>
        <v>34.580521056720166</v>
      </c>
      <c r="K61" s="51">
        <f t="shared" si="33"/>
        <v>34.580521056720166</v>
      </c>
      <c r="L61" s="51">
        <f t="shared" si="33"/>
        <v>34.580521056720166</v>
      </c>
      <c r="M61" s="51">
        <f t="shared" si="33"/>
        <v>34.580521056720166</v>
      </c>
      <c r="N61" s="198">
        <v>5</v>
      </c>
      <c r="O61" s="63" t="s">
        <v>217</v>
      </c>
      <c r="P61" s="51"/>
      <c r="R61" s="25"/>
    </row>
    <row r="62" spans="2:18" ht="1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  <row r="65" spans="4:13">
      <c r="G65" t="s">
        <v>645</v>
      </c>
    </row>
    <row r="66" spans="4:13" ht="15" thickBot="1">
      <c r="D66" s="23" t="s">
        <v>650</v>
      </c>
      <c r="E66" s="461" t="s">
        <v>643</v>
      </c>
      <c r="F66" s="461" t="s">
        <v>644</v>
      </c>
      <c r="G66" s="461">
        <v>2020</v>
      </c>
      <c r="H66" s="461">
        <v>2025</v>
      </c>
      <c r="I66" s="461">
        <v>2030</v>
      </c>
      <c r="J66" s="461">
        <v>2035</v>
      </c>
      <c r="K66" s="461">
        <v>2040</v>
      </c>
      <c r="L66" s="461">
        <v>2045</v>
      </c>
      <c r="M66" s="461">
        <v>2050</v>
      </c>
    </row>
    <row r="67" spans="4:13">
      <c r="D67" s="43" t="s">
        <v>639</v>
      </c>
      <c r="E67" s="23">
        <f>34.7</f>
        <v>34.700000000000003</v>
      </c>
      <c r="F67" s="456">
        <f>E67/3.6</f>
        <v>9.6388888888888893</v>
      </c>
      <c r="G67" s="23">
        <f>500*3.6/1000</f>
        <v>1.8</v>
      </c>
      <c r="H67" s="23">
        <f>500*3.6/1000</f>
        <v>1.8</v>
      </c>
      <c r="I67" s="23">
        <f>500*3.6/1000</f>
        <v>1.8</v>
      </c>
      <c r="J67" s="23">
        <f>500*3.6/1000</f>
        <v>1.8</v>
      </c>
      <c r="K67" s="23">
        <f>1000*3.6/1000</f>
        <v>3.6</v>
      </c>
      <c r="L67" s="23">
        <f>2000*3.6/1000</f>
        <v>7.2</v>
      </c>
      <c r="M67" s="23">
        <f>2000*3.6/1000</f>
        <v>7.2</v>
      </c>
    </row>
    <row r="68" spans="4:13">
      <c r="D68" s="21" t="s">
        <v>640</v>
      </c>
      <c r="E68" s="23">
        <f>34.7</f>
        <v>34.700000000000003</v>
      </c>
      <c r="F68" s="456">
        <f t="shared" ref="F68:F70" si="34">E68/3.6</f>
        <v>9.6388888888888893</v>
      </c>
      <c r="G68" s="23">
        <v>0</v>
      </c>
      <c r="H68" s="23">
        <f>1000*3.6/1000</f>
        <v>3.6</v>
      </c>
      <c r="I68" s="23">
        <f>5000*3.6/1000</f>
        <v>18</v>
      </c>
      <c r="J68" s="23">
        <f>10000*3.6/1000</f>
        <v>36</v>
      </c>
      <c r="K68" s="23">
        <f>15000*3.6/1000</f>
        <v>54</v>
      </c>
      <c r="L68" s="23">
        <f>17000*3.6/1000</f>
        <v>61.2</v>
      </c>
      <c r="M68" s="23">
        <f>17000*3.6/1000</f>
        <v>61.2</v>
      </c>
    </row>
    <row r="69" spans="4:13">
      <c r="D69" s="21" t="s">
        <v>641</v>
      </c>
      <c r="E69" s="23">
        <f>36.6</f>
        <v>36.6</v>
      </c>
      <c r="F69" s="456">
        <f t="shared" si="34"/>
        <v>10.166666666666666</v>
      </c>
      <c r="G69" s="23">
        <v>0</v>
      </c>
      <c r="H69" s="23">
        <v>0</v>
      </c>
      <c r="I69" s="23">
        <f>15000*3.6/1000</f>
        <v>54</v>
      </c>
      <c r="J69" s="23">
        <f>I69</f>
        <v>54</v>
      </c>
      <c r="K69" s="23">
        <f t="shared" ref="K69:M69" si="35">J69</f>
        <v>54</v>
      </c>
      <c r="L69" s="23">
        <f t="shared" si="35"/>
        <v>54</v>
      </c>
      <c r="M69" s="23">
        <f t="shared" si="35"/>
        <v>54</v>
      </c>
    </row>
    <row r="70" spans="4:13">
      <c r="D70" s="45" t="s">
        <v>642</v>
      </c>
      <c r="E70" s="27">
        <f>40.3</f>
        <v>40.299999999999997</v>
      </c>
      <c r="F70" s="457">
        <f t="shared" si="34"/>
        <v>11.194444444444443</v>
      </c>
      <c r="G70" s="27">
        <v>0</v>
      </c>
      <c r="H70" s="27">
        <v>0</v>
      </c>
      <c r="I70" s="27">
        <v>0</v>
      </c>
      <c r="J70" s="27">
        <f>1000*3.6/1000</f>
        <v>3.6</v>
      </c>
      <c r="K70" s="27">
        <f>10000*3.6/1000</f>
        <v>36</v>
      </c>
      <c r="L70" s="27">
        <f>K70</f>
        <v>36</v>
      </c>
      <c r="M70" s="27">
        <f>L70</f>
        <v>36</v>
      </c>
    </row>
    <row r="71" spans="4:13">
      <c r="E71" s="66"/>
      <c r="F71" s="66" t="s">
        <v>646</v>
      </c>
      <c r="G71" s="66">
        <f>SUM(G67:G70)</f>
        <v>1.8</v>
      </c>
      <c r="H71" s="66">
        <f t="shared" ref="H71:M71" si="36">SUM(H67:H70)</f>
        <v>5.4</v>
      </c>
      <c r="I71" s="66">
        <f t="shared" si="36"/>
        <v>73.8</v>
      </c>
      <c r="J71" s="66">
        <f t="shared" si="36"/>
        <v>95.399999999999991</v>
      </c>
      <c r="K71" s="66">
        <f t="shared" si="36"/>
        <v>147.6</v>
      </c>
      <c r="L71" s="66">
        <f t="shared" si="36"/>
        <v>158.4</v>
      </c>
      <c r="M71" s="66">
        <f t="shared" si="36"/>
        <v>158.4</v>
      </c>
    </row>
    <row r="72" spans="4:13">
      <c r="D72" s="459" t="s">
        <v>648</v>
      </c>
      <c r="E72" s="460" t="s">
        <v>649</v>
      </c>
    </row>
    <row r="79" spans="4:13">
      <c r="D79" s="458"/>
    </row>
  </sheetData>
  <mergeCells count="1">
    <mergeCell ref="K30:K3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B2" sqref="B2:M5"/>
    </sheetView>
  </sheetViews>
  <sheetFormatPr defaultColWidth="9.08984375" defaultRowHeight="14.5"/>
  <cols>
    <col min="2" max="2" width="12.54296875" customWidth="1"/>
    <col min="3" max="3" width="16.26953125" customWidth="1"/>
    <col min="4" max="4" width="34.81640625" customWidth="1"/>
    <col min="5" max="5" width="10.81640625" bestFit="1" customWidth="1"/>
    <col min="6" max="8" width="11" customWidth="1"/>
    <col min="9" max="9" width="15.54296875" customWidth="1"/>
    <col min="10" max="10" width="20.7265625" customWidth="1"/>
    <col min="11" max="11" width="17" customWidth="1"/>
    <col min="12" max="12" width="14" customWidth="1"/>
    <col min="13" max="13" width="10.54296875" customWidth="1"/>
    <col min="17" max="17" width="12.7265625" bestFit="1" customWidth="1"/>
    <col min="18" max="18" width="29.81640625" bestFit="1" customWidth="1"/>
  </cols>
  <sheetData>
    <row r="2" spans="2:15" ht="18.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74" t="s">
        <v>223</v>
      </c>
      <c r="G9" s="474"/>
      <c r="H9" s="474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6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569</v>
      </c>
    </row>
    <row r="29" spans="2:15">
      <c r="B29" s="274" t="s">
        <v>575</v>
      </c>
      <c r="C29" s="272" t="s">
        <v>570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H1" sqref="H1"/>
    </sheetView>
  </sheetViews>
  <sheetFormatPr defaultColWidth="9.08984375" defaultRowHeight="13"/>
  <cols>
    <col min="1" max="1" width="9.08984375" style="22"/>
    <col min="2" max="2" width="12.81640625" style="22" customWidth="1"/>
    <col min="3" max="3" width="17.26953125" style="22" customWidth="1"/>
    <col min="4" max="4" width="69.7265625" style="22" bestFit="1" customWidth="1"/>
    <col min="5" max="5" width="15.81640625" style="22" bestFit="1" customWidth="1"/>
    <col min="6" max="6" width="11.08984375" style="22" customWidth="1"/>
    <col min="7" max="9" width="9.08984375" style="22"/>
    <col min="10" max="10" width="14.08984375" style="22" bestFit="1" customWidth="1"/>
    <col min="11" max="11" width="39.54296875" style="22" bestFit="1" customWidth="1"/>
    <col min="12" max="16384" width="9.08984375" style="22"/>
  </cols>
  <sheetData>
    <row r="2" spans="2:18" ht="18.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4.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75" t="s">
        <v>142</v>
      </c>
      <c r="R5" s="23"/>
    </row>
    <row r="6" spans="2:18" ht="14.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76"/>
      <c r="R6" s="23"/>
    </row>
    <row r="7" spans="2:18" ht="14.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76"/>
      <c r="R7" s="23"/>
    </row>
    <row r="8" spans="2:18" ht="14.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76"/>
      <c r="R8" s="23"/>
    </row>
    <row r="9" spans="2:18" ht="14.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76"/>
      <c r="R9" s="23"/>
    </row>
    <row r="10" spans="2:18" ht="14.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76"/>
      <c r="R10" s="23"/>
    </row>
    <row r="11" spans="2:18" ht="14.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76"/>
      <c r="R11" s="23"/>
    </row>
    <row r="12" spans="2:18" ht="14.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76"/>
      <c r="R12" s="23"/>
    </row>
    <row r="13" spans="2:18" ht="14.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0">
        <v>10</v>
      </c>
      <c r="G13" s="476"/>
      <c r="R13" s="23"/>
    </row>
    <row r="14" spans="2:18" ht="14.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76"/>
      <c r="R14" s="23"/>
    </row>
    <row r="15" spans="2:18" ht="14.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76"/>
      <c r="R15" s="23"/>
    </row>
    <row r="16" spans="2:18" ht="14.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76"/>
      <c r="R16" s="23"/>
    </row>
    <row r="17" spans="2:18" ht="14.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76"/>
      <c r="R17" s="23"/>
    </row>
    <row r="18" spans="2:18" ht="14.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76"/>
      <c r="R18" s="23"/>
    </row>
    <row r="19" spans="2:18" ht="14.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76"/>
      <c r="R19" s="23"/>
    </row>
    <row r="20" spans="2:18" ht="14.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76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76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76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0">
        <v>10</v>
      </c>
      <c r="G23" s="476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76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76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76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76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76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76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76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76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76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0">
        <v>10</v>
      </c>
      <c r="G33" s="476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77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4.5">
      <c r="B37"/>
      <c r="C37"/>
      <c r="D37"/>
      <c r="E37"/>
      <c r="F37"/>
      <c r="G37"/>
    </row>
    <row r="38" spans="2:7" ht="14.5">
      <c r="B38"/>
      <c r="C38"/>
      <c r="D38"/>
      <c r="E38"/>
      <c r="F38"/>
      <c r="G38"/>
    </row>
    <row r="39" spans="2:7" ht="14.5">
      <c r="B39"/>
      <c r="C39"/>
      <c r="D39"/>
      <c r="E39"/>
      <c r="F39"/>
      <c r="G39"/>
    </row>
    <row r="40" spans="2:7" ht="14.5">
      <c r="B40"/>
      <c r="C40"/>
      <c r="D40"/>
      <c r="E40"/>
      <c r="F40"/>
      <c r="G40"/>
    </row>
    <row r="41" spans="2:7" ht="14.5">
      <c r="B41"/>
      <c r="C41"/>
      <c r="D41"/>
      <c r="E41"/>
      <c r="F41"/>
      <c r="G41"/>
    </row>
    <row r="42" spans="2:7" ht="14.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08984375" defaultRowHeight="14.5"/>
  <cols>
    <col min="1" max="1" width="9.08984375" style="23"/>
    <col min="2" max="2" width="9.7265625" style="23" bestFit="1" customWidth="1"/>
    <col min="3" max="3" width="13.54296875" style="23" customWidth="1"/>
    <col min="4" max="4" width="17" style="23" bestFit="1" customWidth="1"/>
    <col min="5" max="5" width="17.26953125" style="23" bestFit="1" customWidth="1"/>
    <col min="6" max="6" width="9.08984375" style="23"/>
    <col min="7" max="20" width="9.26953125" style="25" customWidth="1"/>
    <col min="21" max="23" width="9.26953125" style="23" customWidth="1"/>
    <col min="24" max="24" width="28.54296875" style="23" bestFit="1" customWidth="1"/>
    <col min="25" max="25" width="9.08984375" style="23"/>
    <col min="26" max="26" width="13.54296875" style="23" bestFit="1" customWidth="1"/>
    <col min="27" max="27" width="17" style="23" bestFit="1" customWidth="1"/>
    <col min="28" max="16384" width="9.08984375" style="23"/>
  </cols>
  <sheetData>
    <row r="1" spans="2:26">
      <c r="R1" s="23"/>
      <c r="S1" s="23"/>
      <c r="T1" s="23"/>
    </row>
    <row r="2" spans="2:26" ht="18.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6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08984375" defaultRowHeight="14.5"/>
  <cols>
    <col min="1" max="1" width="9.08984375" style="23"/>
    <col min="2" max="2" width="13.26953125" style="23" customWidth="1"/>
    <col min="3" max="3" width="17.7265625" style="23" customWidth="1"/>
    <col min="4" max="4" width="46.54296875" style="23" bestFit="1" customWidth="1"/>
    <col min="5" max="5" width="8.7265625" style="23" customWidth="1"/>
    <col min="6" max="6" width="10" style="23" bestFit="1" customWidth="1"/>
    <col min="7" max="7" width="9.26953125" style="23" customWidth="1"/>
    <col min="8" max="8" width="10.54296875" style="23" bestFit="1" customWidth="1"/>
    <col min="9" max="9" width="10.08984375" style="23" customWidth="1"/>
    <col min="10" max="10" width="11" style="23" bestFit="1" customWidth="1"/>
    <col min="11" max="15" width="10.08984375" style="23" customWidth="1"/>
    <col min="16" max="16" width="9.7265625" style="23" bestFit="1" customWidth="1"/>
    <col min="17" max="17" width="11.54296875" style="23" bestFit="1" customWidth="1"/>
    <col min="18" max="21" width="10.26953125" style="23" customWidth="1"/>
    <col min="22" max="22" width="9.08984375" style="23"/>
    <col min="23" max="23" width="12" style="23" bestFit="1" customWidth="1"/>
    <col min="24" max="24" width="26.54296875" style="23" bestFit="1" customWidth="1"/>
    <col min="25" max="16384" width="9.08984375" style="23"/>
  </cols>
  <sheetData>
    <row r="2" spans="2:20" ht="18.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74" t="s">
        <v>159</v>
      </c>
      <c r="H7" s="474"/>
      <c r="I7" s="474"/>
      <c r="J7" s="474"/>
      <c r="K7" s="474"/>
      <c r="L7" s="193" t="s">
        <v>67</v>
      </c>
      <c r="M7" s="192"/>
      <c r="N7" s="478" t="s">
        <v>220</v>
      </c>
      <c r="O7" s="478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6"/>
  <sheetViews>
    <sheetView tabSelected="1" workbookViewId="0">
      <selection activeCell="I23" sqref="I23"/>
    </sheetView>
  </sheetViews>
  <sheetFormatPr defaultColWidth="9.08984375" defaultRowHeight="14.5"/>
  <cols>
    <col min="1" max="1" width="9.08984375" style="23"/>
    <col min="2" max="2" width="18.81640625" style="23" customWidth="1"/>
    <col min="3" max="16384" width="9.0898437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6" spans="1:7">
      <c r="B16" s="1" t="s">
        <v>652</v>
      </c>
      <c r="C16"/>
      <c r="D16"/>
      <c r="E16"/>
      <c r="F16" s="1" t="s">
        <v>652</v>
      </c>
      <c r="G16"/>
    </row>
    <row r="17" spans="2:7" ht="15" thickBot="1">
      <c r="B17" s="163" t="s">
        <v>16</v>
      </c>
      <c r="C17" s="164" t="s">
        <v>653</v>
      </c>
      <c r="D17"/>
      <c r="E17"/>
      <c r="F17" s="163" t="s">
        <v>16</v>
      </c>
      <c r="G17" s="164" t="s">
        <v>654</v>
      </c>
    </row>
    <row r="18" spans="2:7">
      <c r="B18" s="23" t="s">
        <v>632</v>
      </c>
      <c r="C18" s="23">
        <v>1</v>
      </c>
      <c r="D18"/>
      <c r="E18"/>
      <c r="F18" s="23" t="s">
        <v>632</v>
      </c>
      <c r="G18" s="23">
        <v>1</v>
      </c>
    </row>
    <row r="19" spans="2:7">
      <c r="B19" s="23" t="s">
        <v>633</v>
      </c>
      <c r="C19" s="23">
        <v>1</v>
      </c>
      <c r="D19"/>
      <c r="E19"/>
      <c r="F19" s="23" t="s">
        <v>633</v>
      </c>
      <c r="G19" s="23">
        <v>1</v>
      </c>
    </row>
    <row r="20" spans="2:7">
      <c r="B20" s="23" t="s">
        <v>634</v>
      </c>
      <c r="C20" s="23">
        <v>1</v>
      </c>
      <c r="D20"/>
      <c r="E20"/>
      <c r="F20" s="23" t="s">
        <v>634</v>
      </c>
      <c r="G20" s="23">
        <v>1</v>
      </c>
    </row>
    <row r="21" spans="2:7">
      <c r="B21" s="23" t="s">
        <v>635</v>
      </c>
      <c r="C21" s="23">
        <v>1</v>
      </c>
      <c r="D21"/>
      <c r="E21"/>
      <c r="F21" s="23" t="s">
        <v>635</v>
      </c>
      <c r="G21" s="23">
        <v>1</v>
      </c>
    </row>
    <row r="22" spans="2:7">
      <c r="B22" s="23" t="s">
        <v>636</v>
      </c>
      <c r="C22" s="23">
        <v>1</v>
      </c>
      <c r="D22"/>
      <c r="E22"/>
      <c r="F22" s="23" t="s">
        <v>636</v>
      </c>
      <c r="G22" s="23">
        <v>1</v>
      </c>
    </row>
    <row r="23" spans="2:7">
      <c r="B23" s="23" t="s">
        <v>637</v>
      </c>
      <c r="C23" s="23">
        <v>1</v>
      </c>
      <c r="D23"/>
      <c r="E23"/>
      <c r="F23" s="23" t="s">
        <v>637</v>
      </c>
      <c r="G23" s="23">
        <v>1</v>
      </c>
    </row>
    <row r="24" spans="2:7">
      <c r="B24" s="23" t="s">
        <v>638</v>
      </c>
      <c r="C24" s="23">
        <v>1</v>
      </c>
      <c r="D24"/>
      <c r="E24"/>
      <c r="F24" s="23" t="s">
        <v>638</v>
      </c>
      <c r="G24" s="23">
        <v>1</v>
      </c>
    </row>
    <row r="25" spans="2:7">
      <c r="B25" t="s">
        <v>662</v>
      </c>
      <c r="C25" s="23">
        <v>1</v>
      </c>
      <c r="D25"/>
      <c r="E25"/>
      <c r="F25" s="23" t="s">
        <v>655</v>
      </c>
      <c r="G25" s="23">
        <v>1</v>
      </c>
    </row>
    <row r="26" spans="2:7">
      <c r="F26" t="s">
        <v>662</v>
      </c>
      <c r="G26" s="23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6" zoomScale="90" zoomScaleNormal="90" workbookViewId="0">
      <pane xSplit="1" topLeftCell="B1" activePane="topRight" state="frozen"/>
      <selection activeCell="D3" sqref="D3"/>
      <selection pane="topRight" activeCell="K21" sqref="K21"/>
    </sheetView>
  </sheetViews>
  <sheetFormatPr defaultRowHeight="14.5"/>
  <cols>
    <col min="1" max="1" width="20.269531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79" t="s">
        <v>88</v>
      </c>
      <c r="Q1" s="479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" thickBot="1">
      <c r="A5" s="75" t="s">
        <v>96</v>
      </c>
      <c r="H5" s="23"/>
      <c r="I5" s="76" t="s">
        <v>97</v>
      </c>
      <c r="J5" s="23"/>
    </row>
    <row r="6" spans="1:22" ht="1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M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>G18*$K$3/1000</f>
        <v>48.176628371999996</v>
      </c>
      <c r="O18" s="23"/>
      <c r="P18" s="87"/>
    </row>
    <row r="19" spans="1:26" ht="1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>E19/$K$2</f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08984375" defaultRowHeight="14.5"/>
  <cols>
    <col min="1" max="16384" width="9.0898437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5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 CO2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2016-02-04T10:21:59Z</dcterms:created>
  <dcterms:modified xsi:type="dcterms:W3CDTF">2024-04-17T13:09:02Z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170604944229125</vt:r8>
  </property>
</Properties>
</file>