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codeName="ThisWorkbook"/>
  <xr:revisionPtr revIDLastSave="0" documentId="13_ncr:1_{302631FF-9E84-4A50-AF5A-7A15E1EDAA3A}" xr6:coauthVersionLast="45" xr6:coauthVersionMax="47" xr10:uidLastSave="{00000000-0000-0000-0000-000000000000}"/>
  <bookViews>
    <workbookView xWindow="-120" yWindow="-120" windowWidth="29040" windowHeight="15840" activeTab="1" xr2:uid="{61E3DBC4-3D48-40CE-BDD5-C17192DCDA09}"/>
  </bookViews>
  <sheets>
    <sheet name="Cover" sheetId="59" r:id="rId1"/>
    <sheet name="Intro" sheetId="35" r:id="rId2"/>
    <sheet name="RSD_Retrofit" sheetId="57" r:id="rId3"/>
    <sheet name="Data" sheetId="58" r:id="rId4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4" i="58" l="1"/>
  <c r="U7" i="57"/>
  <c r="N7" i="57"/>
  <c r="T7" i="57"/>
  <c r="K18" i="57" l="1"/>
  <c r="K17" i="57"/>
  <c r="K16" i="57"/>
  <c r="K15" i="57"/>
  <c r="K24" i="57"/>
  <c r="K23" i="57"/>
  <c r="K22" i="57"/>
  <c r="K21" i="57"/>
  <c r="K20" i="57"/>
  <c r="K14" i="57"/>
  <c r="K19" i="57"/>
  <c r="K13" i="57"/>
  <c r="K12" i="57"/>
  <c r="K11" i="57"/>
  <c r="K10" i="57"/>
  <c r="K9" i="57"/>
  <c r="K8" i="57"/>
  <c r="K7" i="57"/>
  <c r="B8" i="57" l="1"/>
  <c r="B9" i="57"/>
  <c r="B10" i="57"/>
  <c r="B11" i="57"/>
  <c r="B12" i="57"/>
  <c r="B13" i="57"/>
  <c r="B14" i="57"/>
  <c r="B15" i="57"/>
  <c r="B16" i="57"/>
  <c r="B17" i="57"/>
  <c r="B18" i="57"/>
  <c r="B19" i="57"/>
  <c r="B20" i="57"/>
  <c r="B21" i="57"/>
  <c r="B22" i="57"/>
  <c r="B23" i="57"/>
  <c r="B24" i="57"/>
  <c r="B7" i="57"/>
  <c r="T22" i="57" l="1"/>
  <c r="T21" i="57"/>
  <c r="T20" i="57"/>
  <c r="T19" i="57"/>
  <c r="T24" i="57"/>
  <c r="T23" i="57"/>
  <c r="O24" i="57"/>
  <c r="O23" i="57"/>
  <c r="O22" i="57"/>
  <c r="O21" i="57"/>
  <c r="O20" i="57"/>
  <c r="O19" i="57"/>
  <c r="T18" i="57"/>
  <c r="T17" i="57"/>
  <c r="T16" i="57"/>
  <c r="T15" i="57"/>
  <c r="T14" i="57"/>
  <c r="T13" i="57"/>
  <c r="O18" i="57"/>
  <c r="O17" i="57"/>
  <c r="O16" i="57"/>
  <c r="O15" i="57"/>
  <c r="O14" i="57"/>
  <c r="O13" i="57"/>
  <c r="C24" i="57"/>
  <c r="J24" i="57"/>
  <c r="C23" i="57"/>
  <c r="J23" i="57"/>
  <c r="U22" i="57"/>
  <c r="N22" i="57" s="1"/>
  <c r="C22" i="57"/>
  <c r="J22" i="57"/>
  <c r="C21" i="57"/>
  <c r="J21" i="57"/>
  <c r="U20" i="57"/>
  <c r="N20" i="57" s="1"/>
  <c r="C20" i="57"/>
  <c r="J20" i="57"/>
  <c r="C19" i="57"/>
  <c r="J19" i="57"/>
  <c r="C18" i="57"/>
  <c r="J18" i="57"/>
  <c r="C17" i="57"/>
  <c r="J17" i="57"/>
  <c r="C16" i="57"/>
  <c r="J16" i="57"/>
  <c r="C15" i="57"/>
  <c r="J15" i="57"/>
  <c r="U14" i="57"/>
  <c r="N14" i="57" s="1"/>
  <c r="C14" i="57"/>
  <c r="J14" i="57"/>
  <c r="C13" i="57"/>
  <c r="J13" i="57"/>
  <c r="T12" i="57"/>
  <c r="T11" i="57"/>
  <c r="T10" i="57"/>
  <c r="T9" i="57"/>
  <c r="T8" i="57"/>
  <c r="O12" i="57"/>
  <c r="O11" i="57"/>
  <c r="O10" i="57"/>
  <c r="O9" i="57"/>
  <c r="O41" i="58"/>
  <c r="O8" i="57"/>
  <c r="O7" i="57"/>
  <c r="U11" i="57"/>
  <c r="U10" i="57"/>
  <c r="U9" i="57"/>
  <c r="U15" i="57" l="1"/>
  <c r="N15" i="57" s="1"/>
  <c r="U18" i="57"/>
  <c r="N18" i="57" s="1"/>
  <c r="U12" i="57"/>
  <c r="U8" i="57"/>
  <c r="U24" i="57"/>
  <c r="N24" i="57" s="1"/>
  <c r="U21" i="57"/>
  <c r="N21" i="57" s="1"/>
  <c r="U23" i="57"/>
  <c r="N23" i="57" s="1"/>
  <c r="U13" i="57"/>
  <c r="N13" i="57" s="1"/>
  <c r="U19" i="57"/>
  <c r="N19" i="57" s="1"/>
  <c r="U17" i="57"/>
  <c r="N17" i="57" s="1"/>
  <c r="U16" i="57"/>
  <c r="N16" i="57" s="1"/>
  <c r="J9" i="57" l="1"/>
  <c r="C9" i="57"/>
  <c r="N9" i="57"/>
  <c r="C10" i="57"/>
  <c r="J10" i="57"/>
  <c r="N10" i="57"/>
  <c r="J11" i="57"/>
  <c r="C11" i="57"/>
  <c r="N11" i="57"/>
  <c r="J12" i="57"/>
  <c r="C12" i="57"/>
  <c r="N12" i="57"/>
  <c r="G18" i="58" l="1"/>
  <c r="H18" i="58"/>
  <c r="G19" i="58"/>
  <c r="H19" i="58"/>
  <c r="G20" i="58"/>
  <c r="H20" i="58"/>
  <c r="F20" i="58"/>
  <c r="F19" i="58"/>
  <c r="F18" i="58"/>
  <c r="W38" i="58" l="1"/>
  <c r="V54" i="58" l="1"/>
  <c r="W54" i="58"/>
  <c r="X54" i="58"/>
  <c r="V55" i="58"/>
  <c r="W55" i="58"/>
  <c r="X55" i="58"/>
  <c r="V56" i="58"/>
  <c r="W56" i="58"/>
  <c r="X56" i="58"/>
  <c r="W53" i="58"/>
  <c r="X53" i="58"/>
  <c r="U56" i="58"/>
  <c r="T56" i="58"/>
  <c r="S56" i="58"/>
  <c r="U55" i="58"/>
  <c r="T55" i="58"/>
  <c r="S55" i="58"/>
  <c r="U54" i="58"/>
  <c r="T54" i="58"/>
  <c r="S54" i="58"/>
  <c r="V53" i="58"/>
  <c r="T53" i="58"/>
  <c r="U53" i="58"/>
  <c r="S53" i="58"/>
  <c r="X50" i="58"/>
  <c r="W50" i="58"/>
  <c r="V50" i="58"/>
  <c r="U50" i="58"/>
  <c r="T50" i="58"/>
  <c r="S50" i="58"/>
  <c r="X49" i="58"/>
  <c r="W49" i="58"/>
  <c r="V49" i="58"/>
  <c r="U49" i="58"/>
  <c r="T49" i="58"/>
  <c r="S49" i="58"/>
  <c r="X47" i="58"/>
  <c r="W47" i="58"/>
  <c r="V47" i="58"/>
  <c r="U47" i="58"/>
  <c r="T47" i="58"/>
  <c r="S47" i="58"/>
  <c r="W48" i="58"/>
  <c r="X48" i="58"/>
  <c r="V48" i="58"/>
  <c r="T48" i="58"/>
  <c r="U48" i="58"/>
  <c r="S48" i="58"/>
  <c r="X45" i="58"/>
  <c r="W45" i="58"/>
  <c r="V45" i="58"/>
  <c r="U45" i="58"/>
  <c r="T45" i="58"/>
  <c r="S45" i="58"/>
  <c r="X43" i="58"/>
  <c r="W43" i="58"/>
  <c r="V43" i="58"/>
  <c r="U43" i="58"/>
  <c r="T43" i="58"/>
  <c r="S43" i="58"/>
  <c r="W44" i="58"/>
  <c r="X44" i="58"/>
  <c r="V44" i="58"/>
  <c r="T44" i="58"/>
  <c r="U44" i="58"/>
  <c r="S44" i="58"/>
  <c r="U40" i="58"/>
  <c r="T40" i="58"/>
  <c r="S40" i="58"/>
  <c r="X40" i="58"/>
  <c r="W40" i="58"/>
  <c r="V40" i="58"/>
  <c r="P40" i="58"/>
  <c r="Q40" i="58"/>
  <c r="R40" i="58"/>
  <c r="X38" i="58"/>
  <c r="V38" i="58"/>
  <c r="P25" i="58"/>
  <c r="Q24" i="58"/>
  <c r="P24" i="58"/>
  <c r="R23" i="58"/>
  <c r="Q23" i="58"/>
  <c r="P23" i="58"/>
  <c r="S22" i="58"/>
  <c r="R22" i="58"/>
  <c r="Q22" i="58"/>
  <c r="P22" i="58"/>
  <c r="T21" i="58"/>
  <c r="S21" i="58"/>
  <c r="R21" i="58"/>
  <c r="Q21" i="58"/>
  <c r="P21" i="58"/>
  <c r="U20" i="58"/>
  <c r="T20" i="58"/>
  <c r="S20" i="58"/>
  <c r="R20" i="58"/>
  <c r="Q20" i="58"/>
  <c r="P20" i="58"/>
  <c r="V19" i="58"/>
  <c r="U19" i="58"/>
  <c r="T19" i="58"/>
  <c r="S19" i="58"/>
  <c r="R19" i="58"/>
  <c r="Q19" i="58"/>
  <c r="P19" i="58"/>
  <c r="W18" i="58"/>
  <c r="V18" i="58"/>
  <c r="U18" i="58"/>
  <c r="T18" i="58"/>
  <c r="S18" i="58"/>
  <c r="R18" i="58"/>
  <c r="Q18" i="58"/>
  <c r="P18" i="58"/>
  <c r="V12" i="58"/>
  <c r="W12" i="58" s="1"/>
  <c r="V11" i="58"/>
  <c r="W11" i="58" s="1"/>
  <c r="V10" i="58"/>
  <c r="W10" i="58" s="1"/>
  <c r="V9" i="58"/>
  <c r="W9" i="58" s="1"/>
  <c r="V8" i="58"/>
  <c r="W8" i="58" s="1"/>
  <c r="V7" i="58"/>
  <c r="W7" i="58" s="1"/>
  <c r="V6" i="58"/>
  <c r="W6" i="58" s="1"/>
  <c r="V5" i="58"/>
  <c r="W5" i="58" s="1"/>
  <c r="V4" i="58"/>
  <c r="W4" i="58" s="1"/>
  <c r="AD19" i="58"/>
  <c r="AC19" i="58"/>
  <c r="AB19" i="58"/>
  <c r="AD18" i="58"/>
  <c r="AC18" i="58"/>
  <c r="AB18" i="58"/>
  <c r="AD17" i="58"/>
  <c r="AC17" i="58"/>
  <c r="AB17" i="58"/>
  <c r="AD16" i="58"/>
  <c r="AC16" i="58"/>
  <c r="AB16" i="58"/>
  <c r="AD15" i="58"/>
  <c r="AC15" i="58"/>
  <c r="AB15" i="58"/>
  <c r="AD14" i="58"/>
  <c r="AC14" i="58"/>
  <c r="AB14" i="58"/>
  <c r="AD13" i="58"/>
  <c r="AC13" i="58"/>
  <c r="AB13" i="58"/>
  <c r="AD12" i="58"/>
  <c r="AC12" i="58"/>
  <c r="AB12" i="58"/>
  <c r="AD11" i="58"/>
  <c r="AC11" i="58"/>
  <c r="AB11" i="58"/>
  <c r="AD10" i="58"/>
  <c r="AC10" i="58"/>
  <c r="AB10" i="58"/>
  <c r="AD9" i="58"/>
  <c r="AC9" i="58"/>
  <c r="AB9" i="58"/>
  <c r="AD8" i="58"/>
  <c r="AC8" i="58"/>
  <c r="AB8" i="58"/>
  <c r="AD7" i="58"/>
  <c r="AC7" i="58"/>
  <c r="AB7" i="58"/>
  <c r="AD6" i="58"/>
  <c r="AC6" i="58"/>
  <c r="AB6" i="58"/>
  <c r="AD5" i="58"/>
  <c r="AC5" i="58"/>
  <c r="AB5" i="58"/>
  <c r="F21" i="58" l="1"/>
  <c r="G23" i="58"/>
  <c r="H23" i="58"/>
  <c r="H25" i="58"/>
  <c r="G25" i="58" l="1"/>
  <c r="F23" i="58"/>
  <c r="H24" i="58"/>
  <c r="F25" i="58"/>
  <c r="G24" i="58"/>
  <c r="R39" i="58"/>
  <c r="X39" i="58" s="1"/>
  <c r="R38" i="58"/>
  <c r="R37" i="58"/>
  <c r="Q39" i="58"/>
  <c r="W39" i="58" s="1"/>
  <c r="Q38" i="58"/>
  <c r="Q37" i="58"/>
  <c r="R42" i="58"/>
  <c r="X42" i="58" s="1"/>
  <c r="R41" i="58"/>
  <c r="X41" i="58" s="1"/>
  <c r="X60" i="58" s="1" a="1"/>
  <c r="X60" i="58" s="1"/>
  <c r="Q42" i="58"/>
  <c r="W42" i="58" s="1"/>
  <c r="Q41" i="58"/>
  <c r="W41" i="58" s="1"/>
  <c r="W60" i="58" s="1" a="1"/>
  <c r="W60" i="58" s="1"/>
  <c r="Q46" i="58"/>
  <c r="W46" i="58" s="1"/>
  <c r="Q45" i="58"/>
  <c r="Q44" i="58"/>
  <c r="Q43" i="58"/>
  <c r="R46" i="58"/>
  <c r="X46" i="58" s="1"/>
  <c r="R45" i="58"/>
  <c r="R44" i="58"/>
  <c r="R43" i="58"/>
  <c r="Q47" i="58"/>
  <c r="R51" i="58"/>
  <c r="X51" i="58" s="1"/>
  <c r="R50" i="58"/>
  <c r="R49" i="58"/>
  <c r="R48" i="58"/>
  <c r="R47" i="58"/>
  <c r="Q51" i="58"/>
  <c r="W51" i="58" s="1"/>
  <c r="Q50" i="58"/>
  <c r="Q49" i="58"/>
  <c r="Q48" i="58"/>
  <c r="R57" i="58"/>
  <c r="X57" i="58" s="1"/>
  <c r="R56" i="58"/>
  <c r="R55" i="58"/>
  <c r="R54" i="58"/>
  <c r="R53" i="58"/>
  <c r="R52" i="58"/>
  <c r="Q55" i="58"/>
  <c r="Q54" i="58"/>
  <c r="Q53" i="58"/>
  <c r="Q52" i="58"/>
  <c r="Q56" i="58"/>
  <c r="Q57" i="58"/>
  <c r="W57" i="58" s="1"/>
  <c r="P50" i="58"/>
  <c r="O57" i="58"/>
  <c r="U57" i="58" s="1"/>
  <c r="N57" i="58"/>
  <c r="T57" i="58" s="1"/>
  <c r="P56" i="58" l="1"/>
  <c r="W37" i="58"/>
  <c r="W59" i="58" s="1"/>
  <c r="P38" i="58"/>
  <c r="P45" i="58"/>
  <c r="X37" i="58"/>
  <c r="X59" i="58" s="1"/>
  <c r="P57" i="58"/>
  <c r="V57" i="58" s="1"/>
  <c r="P42" i="58"/>
  <c r="V42" i="58" s="1"/>
  <c r="P39" i="58"/>
  <c r="V39" i="58" s="1"/>
  <c r="P51" i="58"/>
  <c r="V51" i="58" s="1"/>
  <c r="P46" i="58"/>
  <c r="V46" i="58" s="1"/>
  <c r="P37" i="58"/>
  <c r="P55" i="58"/>
  <c r="P44" i="58"/>
  <c r="P54" i="58"/>
  <c r="P43" i="58"/>
  <c r="P53" i="58"/>
  <c r="P49" i="58"/>
  <c r="P52" i="58"/>
  <c r="P48" i="58"/>
  <c r="P47" i="58"/>
  <c r="P41" i="58"/>
  <c r="V41" i="58" s="1"/>
  <c r="V60" i="58" s="1" a="1"/>
  <c r="V60" i="58" s="1"/>
  <c r="V37" i="58" l="1"/>
  <c r="V59" i="58" s="1"/>
  <c r="M57" i="58"/>
  <c r="S57" i="58" s="1"/>
  <c r="U5" i="58"/>
  <c r="U6" i="58"/>
  <c r="U7" i="58"/>
  <c r="U8" i="58"/>
  <c r="U9" i="58"/>
  <c r="U10" i="58"/>
  <c r="U11" i="58"/>
  <c r="U12" i="58"/>
  <c r="U4" i="58"/>
  <c r="J49" i="58"/>
  <c r="H45" i="58" l="1"/>
  <c r="J55" i="58"/>
  <c r="G31" i="58" l="1"/>
  <c r="G32" i="58"/>
  <c r="G33" i="58"/>
  <c r="G34" i="58"/>
  <c r="G35" i="58"/>
  <c r="G36" i="58"/>
  <c r="G37" i="58"/>
  <c r="O37" i="58" s="1"/>
  <c r="G38" i="58"/>
  <c r="G39" i="58"/>
  <c r="G40" i="58"/>
  <c r="O39" i="58" l="1"/>
  <c r="U39" i="58" s="1"/>
  <c r="M39" i="58"/>
  <c r="N37" i="58"/>
  <c r="T37" i="58" s="1"/>
  <c r="U37" i="58"/>
  <c r="M37" i="58"/>
  <c r="S37" i="58" s="1"/>
  <c r="O35" i="58"/>
  <c r="N35" i="58"/>
  <c r="M35" i="58"/>
  <c r="O34" i="58"/>
  <c r="N34" i="58"/>
  <c r="M34" i="58"/>
  <c r="N36" i="58"/>
  <c r="O36" i="58"/>
  <c r="M36" i="58"/>
  <c r="O33" i="58"/>
  <c r="N33" i="58"/>
  <c r="M33" i="58"/>
  <c r="N38" i="58"/>
  <c r="T38" i="58" s="1"/>
  <c r="O38" i="58"/>
  <c r="U38" i="58" s="1"/>
  <c r="M38" i="58"/>
  <c r="S38" i="58" s="1"/>
  <c r="N40" i="58"/>
  <c r="O40" i="58"/>
  <c r="M40" i="58"/>
  <c r="N32" i="58"/>
  <c r="O32" i="58"/>
  <c r="M32" i="58"/>
  <c r="N39" i="58"/>
  <c r="T39" i="58" s="1"/>
  <c r="S39" i="58"/>
  <c r="O31" i="58"/>
  <c r="N31" i="58"/>
  <c r="M31" i="58"/>
  <c r="G41" i="58"/>
  <c r="G42" i="58"/>
  <c r="G43" i="58"/>
  <c r="G44" i="58"/>
  <c r="G45" i="58"/>
  <c r="G46" i="58"/>
  <c r="G47" i="58"/>
  <c r="G48" i="58"/>
  <c r="G49" i="58"/>
  <c r="G50" i="58"/>
  <c r="G51" i="58"/>
  <c r="G52" i="58"/>
  <c r="G53" i="58"/>
  <c r="G54" i="58"/>
  <c r="G55" i="58"/>
  <c r="G56" i="58"/>
  <c r="O49" i="58" l="1"/>
  <c r="N49" i="58"/>
  <c r="M49" i="58"/>
  <c r="U41" i="58"/>
  <c r="U60" i="58" s="1" a="1"/>
  <c r="U60" i="58" s="1"/>
  <c r="N41" i="58"/>
  <c r="T41" i="58" s="1"/>
  <c r="T60" i="58" s="1" a="1"/>
  <c r="T60" i="58" s="1"/>
  <c r="M41" i="58"/>
  <c r="S41" i="58" s="1"/>
  <c r="S60" i="58" s="1" a="1"/>
  <c r="S60" i="58" s="1"/>
  <c r="O50" i="58"/>
  <c r="N50" i="58"/>
  <c r="M50" i="58"/>
  <c r="N56" i="58"/>
  <c r="O56" i="58"/>
  <c r="M56" i="58"/>
  <c r="N47" i="58"/>
  <c r="O47" i="58"/>
  <c r="M47" i="58"/>
  <c r="N55" i="58"/>
  <c r="O55" i="58"/>
  <c r="M55" i="58"/>
  <c r="N54" i="58"/>
  <c r="O54" i="58"/>
  <c r="M54" i="58"/>
  <c r="N46" i="58"/>
  <c r="T46" i="58" s="1"/>
  <c r="O46" i="58"/>
  <c r="U46" i="58" s="1"/>
  <c r="M46" i="58"/>
  <c r="S46" i="58" s="1"/>
  <c r="N42" i="58"/>
  <c r="T42" i="58" s="1"/>
  <c r="O42" i="58"/>
  <c r="U42" i="58" s="1"/>
  <c r="M42" i="58"/>
  <c r="S42" i="58" s="1"/>
  <c r="O45" i="58"/>
  <c r="N45" i="58"/>
  <c r="M45" i="58"/>
  <c r="N48" i="58"/>
  <c r="O48" i="58"/>
  <c r="M48" i="58"/>
  <c r="O53" i="58"/>
  <c r="N53" i="58"/>
  <c r="M53" i="58"/>
  <c r="O52" i="58"/>
  <c r="N52" i="58"/>
  <c r="M52" i="58"/>
  <c r="O44" i="58"/>
  <c r="N44" i="58"/>
  <c r="M44" i="58"/>
  <c r="O51" i="58"/>
  <c r="U51" i="58" s="1"/>
  <c r="N51" i="58"/>
  <c r="T51" i="58" s="1"/>
  <c r="M51" i="58"/>
  <c r="S51" i="58" s="1"/>
  <c r="O43" i="58"/>
  <c r="N43" i="58"/>
  <c r="M43" i="58"/>
  <c r="N8" i="57"/>
  <c r="S59" i="58" l="1"/>
  <c r="U59" i="58"/>
  <c r="T59" i="58"/>
  <c r="C8" i="57"/>
  <c r="J8" i="57"/>
  <c r="C7" i="57"/>
  <c r="J7" i="5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5" authorId="0" shapeId="0" xr:uid="{0C9666FB-34CF-4809-B682-F7B52A79668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BY template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<sst xmlns="http://schemas.openxmlformats.org/spreadsheetml/2006/main" count="453" uniqueCount="241">
  <si>
    <t>Document type:</t>
  </si>
  <si>
    <t>Table of contents</t>
  </si>
  <si>
    <t>Colour code</t>
  </si>
  <si>
    <t>Description</t>
  </si>
  <si>
    <t>Updated</t>
  </si>
  <si>
    <t>RES</t>
  </si>
  <si>
    <t>aaa</t>
  </si>
  <si>
    <t>Filtered Data</t>
  </si>
  <si>
    <t>RHWLP-APT</t>
  </si>
  <si>
    <t>RHWLP-Ter</t>
  </si>
  <si>
    <t>RHWLP-Det</t>
  </si>
  <si>
    <t>Units</t>
  </si>
  <si>
    <t>Capacity</t>
  </si>
  <si>
    <t>PJ</t>
  </si>
  <si>
    <t>Currency (year)</t>
  </si>
  <si>
    <t>Value</t>
  </si>
  <si>
    <t>2.0.7</t>
  </si>
  <si>
    <t>~FI_T</t>
  </si>
  <si>
    <t>~FI_Process</t>
  </si>
  <si>
    <t>TechName</t>
  </si>
  <si>
    <t>TechDesc</t>
  </si>
  <si>
    <t>Comm-OUT</t>
  </si>
  <si>
    <t>Life</t>
  </si>
  <si>
    <t>Sets</t>
  </si>
  <si>
    <t>Tact</t>
  </si>
  <si>
    <t>Tcap</t>
  </si>
  <si>
    <t>PrimaryCG</t>
  </si>
  <si>
    <t>PRE</t>
  </si>
  <si>
    <t>Technology Description</t>
  </si>
  <si>
    <t>%</t>
  </si>
  <si>
    <t>Sheet</t>
  </si>
  <si>
    <t>Referenced data (columns and rows headers)</t>
  </si>
  <si>
    <t>Sector Reference Energy System</t>
  </si>
  <si>
    <t>Own calculations (columns and rows headers)</t>
  </si>
  <si>
    <t>Own assumptions (columns and rows headers)</t>
  </si>
  <si>
    <t>RSD_Balance</t>
  </si>
  <si>
    <t>Results</t>
  </si>
  <si>
    <t>TIMES commodities list for the residential sector</t>
  </si>
  <si>
    <t>Sheets which contains input tables for the RES BY-Template</t>
  </si>
  <si>
    <t>Emission coefficients for the residential sector</t>
  </si>
  <si>
    <t>Description of the fuel sectoral technologies for the residential sector</t>
  </si>
  <si>
    <t>DwellingStocks</t>
  </si>
  <si>
    <t>Description of the residential building stocks</t>
  </si>
  <si>
    <t>Description of space heat, water heat and lighting technologies in apartments</t>
  </si>
  <si>
    <t>Description of space heat, water heat and lighting technologies in terrace dwellings</t>
  </si>
  <si>
    <t>Description of space heat, water heat and lighting technologies in detached dwellings</t>
  </si>
  <si>
    <t>000units or PJa</t>
  </si>
  <si>
    <t>Consumption</t>
  </si>
  <si>
    <t>Base year</t>
  </si>
  <si>
    <t>Data Sources</t>
  </si>
  <si>
    <t>Assumptions</t>
  </si>
  <si>
    <t>BER Database</t>
  </si>
  <si>
    <t>https://ndber.seai.ie/pass/ber/search.aspx</t>
  </si>
  <si>
    <t>Verision Control</t>
  </si>
  <si>
    <t>Verision</t>
  </si>
  <si>
    <t>START</t>
  </si>
  <si>
    <t>Vintage</t>
  </si>
  <si>
    <t>*Process Set Membership</t>
  </si>
  <si>
    <t>Technology Name</t>
  </si>
  <si>
    <t>Activity Unit</t>
  </si>
  <si>
    <t>Capacity Unit</t>
  </si>
  <si>
    <t>Vintage Tracking</t>
  </si>
  <si>
    <t>Cap2Act</t>
  </si>
  <si>
    <t>Technical life</t>
  </si>
  <si>
    <t>000units</t>
  </si>
  <si>
    <t>SubRes Residential buildings</t>
  </si>
  <si>
    <t>Retrofit Technologies</t>
  </si>
  <si>
    <t>Tslvl</t>
  </si>
  <si>
    <t>By</t>
  </si>
  <si>
    <t>Regions</t>
  </si>
  <si>
    <t>County Level ( Mulit-Region ) or National Region Model Selection</t>
  </si>
  <si>
    <t>Olex</t>
  </si>
  <si>
    <t>JMcG</t>
  </si>
  <si>
    <t>Setup</t>
  </si>
  <si>
    <t xml:space="preserve">Used for Automatic Naming Conenvtion </t>
  </si>
  <si>
    <t>EnergyBalance</t>
  </si>
  <si>
    <t>SEAI 2018 energy balance in ktoe</t>
  </si>
  <si>
    <t>Description of the existing uses of energy in the residential sector, used for BY calibration</t>
  </si>
  <si>
    <r>
      <t>Sheets which contains input tables (not activated) for the building retrofit SubRes (</t>
    </r>
    <r>
      <rPr>
        <i/>
        <sz val="10"/>
        <color theme="1"/>
        <rFont val="Arial"/>
        <family val="2"/>
      </rPr>
      <t>SubRES_RsdRetrofits_Trans.xlsx</t>
    </r>
    <r>
      <rPr>
        <sz val="10"/>
        <color theme="1"/>
        <rFont val="Arial"/>
        <family val="2"/>
      </rPr>
      <t>)</t>
    </r>
  </si>
  <si>
    <t>Fuel-Age Adjustment</t>
  </si>
  <si>
    <t>Uses CSO data and BER data, to find probablilty of BER Rating for Age of dwelling</t>
  </si>
  <si>
    <t>COMM</t>
  </si>
  <si>
    <t>EMIS</t>
  </si>
  <si>
    <t>Sector_Fuels</t>
  </si>
  <si>
    <t>Archetype Drivers</t>
  </si>
  <si>
    <t>The Share of Energy Service Drivers and projected demands assoicated with Archetypes</t>
  </si>
  <si>
    <t>Non-Archetype Drivers</t>
  </si>
  <si>
    <t>projected demands NOT assoicated with Archetypes</t>
  </si>
  <si>
    <t>2018M€</t>
  </si>
  <si>
    <t>CSO 2016</t>
  </si>
  <si>
    <t>https://www.cso.ie/en/csolatestnews/presspages/2017/census2016profile1-housinginireland/</t>
  </si>
  <si>
    <t>Comment</t>
  </si>
  <si>
    <t>JMcG continue from Alessandro Chiodi BY template in 2018  - Initial Internal Release</t>
  </si>
  <si>
    <t>PJ/000dwelling</t>
  </si>
  <si>
    <t>*Technology name</t>
  </si>
  <si>
    <t>Timeslice Operational Level</t>
  </si>
  <si>
    <t>Operational Commodity Group</t>
  </si>
  <si>
    <t>Dwelling type</t>
  </si>
  <si>
    <t>Apt</t>
  </si>
  <si>
    <t>Att</t>
  </si>
  <si>
    <t>Det</t>
  </si>
  <si>
    <t>Shallow</t>
  </si>
  <si>
    <t>Deep</t>
  </si>
  <si>
    <t>Retrofit type</t>
  </si>
  <si>
    <t>INVCOST</t>
  </si>
  <si>
    <t>Pre-measure requirement</t>
  </si>
  <si>
    <t>Expected savings</t>
  </si>
  <si>
    <t>k€/dwelling</t>
  </si>
  <si>
    <t>000dwelling to PJ</t>
  </si>
  <si>
    <t>Key inputs</t>
  </si>
  <si>
    <t>A1</t>
  </si>
  <si>
    <t>A</t>
  </si>
  <si>
    <t>A2</t>
  </si>
  <si>
    <t>A3</t>
  </si>
  <si>
    <t>B1</t>
  </si>
  <si>
    <t>B2</t>
  </si>
  <si>
    <t>B3</t>
  </si>
  <si>
    <t>C1</t>
  </si>
  <si>
    <t>C</t>
  </si>
  <si>
    <t>C2</t>
  </si>
  <si>
    <t>C3</t>
  </si>
  <si>
    <t>D1</t>
  </si>
  <si>
    <t>D</t>
  </si>
  <si>
    <t>D2</t>
  </si>
  <si>
    <t>E1</t>
  </si>
  <si>
    <t>E</t>
  </si>
  <si>
    <t>E2</t>
  </si>
  <si>
    <t>F</t>
  </si>
  <si>
    <t>G</t>
  </si>
  <si>
    <t>B to NZEB</t>
  </si>
  <si>
    <t>C to NZEB</t>
  </si>
  <si>
    <t>D to NZEB</t>
  </si>
  <si>
    <t>E to NZEB</t>
  </si>
  <si>
    <t>F to NZEB</t>
  </si>
  <si>
    <t>G to NZEB</t>
  </si>
  <si>
    <t>B to A</t>
  </si>
  <si>
    <t>C to A</t>
  </si>
  <si>
    <t>C to B</t>
  </si>
  <si>
    <t>D to A</t>
  </si>
  <si>
    <t>D to B</t>
  </si>
  <si>
    <t>D to C</t>
  </si>
  <si>
    <t>E to A</t>
  </si>
  <si>
    <t>E to B</t>
  </si>
  <si>
    <t>E to C</t>
  </si>
  <si>
    <t>E to D</t>
  </si>
  <si>
    <t>F to A</t>
  </si>
  <si>
    <t>F to B</t>
  </si>
  <si>
    <t>F to C</t>
  </si>
  <si>
    <t>F to D</t>
  </si>
  <si>
    <t>F to E</t>
  </si>
  <si>
    <t>G to A</t>
  </si>
  <si>
    <t>G to B</t>
  </si>
  <si>
    <t>G to C</t>
  </si>
  <si>
    <t>G to D</t>
  </si>
  <si>
    <t>G to E</t>
  </si>
  <si>
    <t>Usman Ali, 2020 - A data-driven approach to optimize urban scale energy retrofit decisions for residential buildings</t>
  </si>
  <si>
    <t>Final Dwelling Stock Table</t>
  </si>
  <si>
    <t>Apartment</t>
  </si>
  <si>
    <t>Attached</t>
  </si>
  <si>
    <t>Detached</t>
  </si>
  <si>
    <t xml:space="preserve">Adjusted </t>
  </si>
  <si>
    <t>Sum</t>
  </si>
  <si>
    <t>CSO Adjusted based upon Age/BER Index</t>
  </si>
  <si>
    <t>Total</t>
  </si>
  <si>
    <t>€ (Windows)</t>
  </si>
  <si>
    <t>€ ( Fabric)</t>
  </si>
  <si>
    <t>€ (Total)</t>
  </si>
  <si>
    <t>ArDEM Space Heat Adjustment</t>
  </si>
  <si>
    <t xml:space="preserve">Space Heating Correction Factor </t>
  </si>
  <si>
    <t>SHALLOW</t>
  </si>
  <si>
    <t>DEEP</t>
  </si>
  <si>
    <t>Table 2: Indicative annual running costs for different properties and BERs</t>
  </si>
  <si>
    <t>Adapted from SEAI’s ‘A guide to Building Energy Rating for Homeowners’, available at http://www.seai.ie/Your_Building/BER/Your_Guide_to_Building_Energy_ Rating.pdf.</t>
  </si>
  <si>
    <t>Costs based on typical occupancy and heating the entire dwelling to a comfortable level. Costs are based on fuel and electricity factors from February 2014.</t>
  </si>
  <si>
    <t>https://episcope.eu/fileadmin/tabula/public/docs/brochure/IE_TABULA_TypologyBrochure_EnergyAction.pdf</t>
  </si>
  <si>
    <t>Shallow retrofit focuses on the installation of cost effective measures and can enable 10-30% CO 2 emissions reduction, while deep retrofit addresses the whole house and can enable up to 80% CO 2 emissions reduction</t>
  </si>
  <si>
    <t>G to F</t>
  </si>
  <si>
    <t>Shallow Retrofit &gt;= 10% Improvement</t>
  </si>
  <si>
    <t>Average (kWh/m2/yr)</t>
  </si>
  <si>
    <t>Average</t>
  </si>
  <si>
    <t>Deep Retrofit &gt; 35% Energy Improvement &lt; 85%</t>
  </si>
  <si>
    <t>Running Costs</t>
  </si>
  <si>
    <t>Assumed Cost</t>
  </si>
  <si>
    <t>Assumed Saving (%)</t>
  </si>
  <si>
    <t>Weighted Average Assumed Saving (%)</t>
  </si>
  <si>
    <t>No Retrofit Required for Heat Pump</t>
  </si>
  <si>
    <t>Shallow Retrofit Required for Heat Pump</t>
  </si>
  <si>
    <t>Deep Retrofit Required for Heat Pump</t>
  </si>
  <si>
    <t>DayNite</t>
  </si>
  <si>
    <t>SEAI</t>
  </si>
  <si>
    <t>http://www.seai.ie/Your_Building/BER/Your_Guide_to_Building_Energy_ Rating.pdf.</t>
  </si>
  <si>
    <t>Open Source</t>
  </si>
  <si>
    <t>ü</t>
  </si>
  <si>
    <t>N/A</t>
  </si>
  <si>
    <t>TABULA</t>
  </si>
  <si>
    <t>AECOM</t>
  </si>
  <si>
    <t>Usman Ali, 2020</t>
  </si>
  <si>
    <t xml:space="preserve"> A data-driven approach to optimize urban scale energy retrofit decisions for residential buildings</t>
  </si>
  <si>
    <t>Attribution 4.0 International (CC BY 4.0</t>
  </si>
  <si>
    <t>http://doi.org/10.1080/00036846.2017.1302068</t>
  </si>
  <si>
    <t>ESRI Paper</t>
  </si>
  <si>
    <t>Reproduction of the contents is permissible provided the source is acknowledged.</t>
  </si>
  <si>
    <t>RECAST Section 1 - April 2020</t>
  </si>
  <si>
    <t>http://www.esru.strath.ac.uk/EandE/Web_sites/16-17/Retrofit/uploads/1/0/5/7/105723345/phpp_sap_and_sbem_comparison_study.pdf</t>
  </si>
  <si>
    <t>Post-Retrofit Rating</t>
  </si>
  <si>
    <t>Pre-Retrofit Rating</t>
  </si>
  <si>
    <t>TIMES-Ireland Model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</si>
  <si>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</si>
  <si>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</si>
  <si>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</si>
  <si>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</si>
  <si>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</si>
  <si>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</si>
  <si>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</si>
  <si>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</si>
  <si>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</si>
  <si>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</si>
  <si>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New Technology</t>
  </si>
  <si>
    <t>Residential sector (RSD)</t>
  </si>
  <si>
    <t xml:space="preserve">Jason Mc Guire ( MaREI, jason.mcguire@ucc.ie) </t>
  </si>
  <si>
    <t xml:space="preserve">Alessandro Chiodi ( E4SMA, alessandro.chiodi@e4sma.com) </t>
  </si>
  <si>
    <t xml:space="preserve">Olexandr Balyk ( MaREI, olexandr.balyk@ucc.ie) </t>
  </si>
  <si>
    <t>Assigns costs and savings of retrofits</t>
  </si>
  <si>
    <t>Apt_B3</t>
  </si>
  <si>
    <t>Apt_C</t>
  </si>
  <si>
    <t>Apt_D</t>
  </si>
  <si>
    <t>Apt_E</t>
  </si>
  <si>
    <t>Apt_F</t>
  </si>
  <si>
    <t>Apt_G</t>
  </si>
  <si>
    <t>Att_B3</t>
  </si>
  <si>
    <t>Att_C</t>
  </si>
  <si>
    <t>Att_D</t>
  </si>
  <si>
    <t>Att_E</t>
  </si>
  <si>
    <t>Att_F</t>
  </si>
  <si>
    <t>Att_G</t>
  </si>
  <si>
    <t>Det_B3</t>
  </si>
  <si>
    <t>Det_C</t>
  </si>
  <si>
    <t>Det_D</t>
  </si>
  <si>
    <t>Det_E</t>
  </si>
  <si>
    <t>Det_F</t>
  </si>
  <si>
    <t>Det_G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</si>
</sst>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€&quot;* #,##0.00_-;\-&quot;€&quot;* #,##0.00_-;_-&quot;€&quot;* &quot;-&quot;??_-;_-@_-"/>
    <numFmt numFmtId="164" formatCode="0.0"/>
    <numFmt numFmtId="165" formatCode="\Te\x\t"/>
    <numFmt numFmtId="166" formatCode="#,##0.000"/>
    <numFmt numFmtId="167" formatCode="0.000%"/>
  </numFmts>
  <fonts count="4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1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b/>
      <u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1"/>
      <name val="Arial"/>
      <family val="2"/>
    </font>
    <font>
      <b/>
      <i/>
      <sz val="14"/>
      <name val="Arial"/>
      <family val="2"/>
    </font>
    <font>
      <sz val="9"/>
      <color theme="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i/>
      <sz val="10"/>
      <color theme="1"/>
      <name val="Arial"/>
      <family val="2"/>
    </font>
    <font>
      <b/>
      <i/>
      <sz val="14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6"/>
      <name val="Cambria"/>
      <family val="1"/>
    </font>
    <font>
      <sz val="7"/>
      <name val="Times New Roman"/>
      <family val="1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Arial"/>
      <family val="2"/>
    </font>
    <font>
      <sz val="8"/>
      <name val="Georgia"/>
      <family val="1"/>
    </font>
    <font>
      <sz val="10"/>
      <name val="Arial"/>
      <family val="2"/>
    </font>
    <font>
      <sz val="10"/>
      <name val="Cambria"/>
      <family val="1"/>
    </font>
    <font>
      <sz val="11"/>
      <color theme="1"/>
      <name val="Wingdings"/>
      <charset val="2"/>
    </font>
    <font>
      <sz val="10"/>
      <name val="Georgia"/>
      <family val="1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8" fillId="0" borderId="0" applyNumberFormat="0" applyFill="0" applyBorder="0" applyAlignment="0" applyProtection="0"/>
    <xf numFmtId="9" fontId="41" fillId="0" borderId="0" applyFont="0" applyFill="0" applyBorder="0" applyAlignment="0" applyProtection="0"/>
    <xf numFmtId="44" fontId="45" fillId="0" borderId="0" applyFont="0" applyFill="0" applyBorder="0" applyAlignment="0" applyProtection="0"/>
    <xf numFmtId="0" fontId="4" fillId="0" borderId="0"/>
    <xf numFmtId="0" fontId="1" fillId="0" borderId="0"/>
    <xf numFmtId="0" fontId="12" fillId="0" borderId="0" applyNumberFormat="0" applyFill="0" applyBorder="0" applyAlignment="0" applyProtection="0"/>
  </cellStyleXfs>
  <cellXfs count="227">
    <xf numFmtId="0" fontId="0" fillId="0" borderId="0" xfId="0"/>
    <xf numFmtId="0" fontId="19" fillId="11" borderId="16" xfId="0" applyFont="1" applyFill="1" applyBorder="1" applyAlignment="1">
      <alignment horizontal="left" vertical="center"/>
    </xf>
    <xf numFmtId="0" fontId="4" fillId="0" borderId="0" xfId="0" applyFont="1"/>
    <xf numFmtId="0" fontId="24" fillId="0" borderId="0" xfId="0" applyFont="1"/>
    <xf numFmtId="0" fontId="26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7" fillId="0" borderId="20" xfId="0" applyFont="1" applyBorder="1" applyAlignment="1">
      <alignment vertical="center"/>
    </xf>
    <xf numFmtId="0" fontId="27" fillId="0" borderId="21" xfId="0" applyFont="1" applyBorder="1" applyAlignment="1">
      <alignment vertical="center"/>
    </xf>
    <xf numFmtId="0" fontId="27" fillId="0" borderId="22" xfId="0" applyFont="1" applyBorder="1" applyAlignment="1">
      <alignment vertical="center"/>
    </xf>
    <xf numFmtId="0" fontId="26" fillId="5" borderId="11" xfId="0" applyFont="1" applyFill="1" applyBorder="1" applyAlignment="1">
      <alignment vertical="center"/>
    </xf>
    <xf numFmtId="0" fontId="20" fillId="0" borderId="13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17" fontId="24" fillId="0" borderId="24" xfId="0" applyNumberFormat="1" applyFont="1" applyBorder="1"/>
    <xf numFmtId="0" fontId="24" fillId="0" borderId="25" xfId="0" applyFont="1" applyBorder="1"/>
    <xf numFmtId="0" fontId="26" fillId="6" borderId="12" xfId="0" applyFont="1" applyFill="1" applyBorder="1" applyAlignment="1">
      <alignment vertical="center"/>
    </xf>
    <xf numFmtId="0" fontId="20" fillId="0" borderId="14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15" fontId="24" fillId="0" borderId="1" xfId="0" applyNumberFormat="1" applyFont="1" applyBorder="1"/>
    <xf numFmtId="0" fontId="24" fillId="0" borderId="27" xfId="0" applyFont="1" applyBorder="1"/>
    <xf numFmtId="164" fontId="4" fillId="7" borderId="12" xfId="0" applyNumberFormat="1" applyFont="1" applyFill="1" applyBorder="1" applyAlignment="1">
      <alignment vertical="center"/>
    </xf>
    <xf numFmtId="0" fontId="28" fillId="8" borderId="12" xfId="0" applyFont="1" applyFill="1" applyBorder="1" applyAlignment="1">
      <alignment vertical="center"/>
    </xf>
    <xf numFmtId="17" fontId="24" fillId="0" borderId="1" xfId="0" applyNumberFormat="1" applyFont="1" applyBorder="1"/>
    <xf numFmtId="0" fontId="28" fillId="9" borderId="12" xfId="0" applyFont="1" applyFill="1" applyBorder="1" applyAlignment="1">
      <alignment vertical="center"/>
    </xf>
    <xf numFmtId="0" fontId="4" fillId="2" borderId="12" xfId="0" applyFont="1" applyFill="1" applyBorder="1"/>
    <xf numFmtId="0" fontId="24" fillId="10" borderId="6" xfId="0" applyFont="1" applyFill="1" applyBorder="1"/>
    <xf numFmtId="0" fontId="20" fillId="0" borderId="15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17" fontId="24" fillId="0" borderId="29" xfId="0" applyNumberFormat="1" applyFont="1" applyBorder="1"/>
    <xf numFmtId="0" fontId="24" fillId="0" borderId="30" xfId="0" applyFont="1" applyBorder="1"/>
    <xf numFmtId="0" fontId="27" fillId="0" borderId="33" xfId="0" applyFont="1" applyBorder="1" applyAlignment="1">
      <alignment vertical="center"/>
    </xf>
    <xf numFmtId="0" fontId="27" fillId="0" borderId="34" xfId="0" applyFont="1" applyBorder="1" applyAlignment="1">
      <alignment vertical="center"/>
    </xf>
    <xf numFmtId="0" fontId="27" fillId="0" borderId="35" xfId="0" applyFont="1" applyBorder="1" applyAlignment="1">
      <alignment vertical="center"/>
    </xf>
    <xf numFmtId="0" fontId="27" fillId="0" borderId="36" xfId="0" applyFont="1" applyBorder="1" applyAlignment="1">
      <alignment vertical="center"/>
    </xf>
    <xf numFmtId="0" fontId="31" fillId="0" borderId="4" xfId="0" applyFont="1" applyBorder="1"/>
    <xf numFmtId="0" fontId="24" fillId="0" borderId="10" xfId="0" quotePrefix="1" applyFont="1" applyBorder="1"/>
    <xf numFmtId="0" fontId="31" fillId="0" borderId="26" xfId="0" applyFont="1" applyBorder="1"/>
    <xf numFmtId="0" fontId="24" fillId="0" borderId="1" xfId="0" quotePrefix="1" applyFont="1" applyBorder="1"/>
    <xf numFmtId="0" fontId="31" fillId="0" borderId="3" xfId="0" applyFont="1" applyBorder="1"/>
    <xf numFmtId="0" fontId="24" fillId="0" borderId="5" xfId="0" applyFont="1" applyBorder="1"/>
    <xf numFmtId="0" fontId="24" fillId="0" borderId="1" xfId="0" applyFont="1" applyBorder="1"/>
    <xf numFmtId="0" fontId="24" fillId="0" borderId="1" xfId="0" applyFont="1" applyBorder="1" applyAlignment="1">
      <alignment horizontal="right"/>
    </xf>
    <xf numFmtId="0" fontId="31" fillId="0" borderId="9" xfId="0" applyFont="1" applyBorder="1"/>
    <xf numFmtId="0" fontId="24" fillId="0" borderId="8" xfId="0" applyFont="1" applyBorder="1" applyAlignment="1">
      <alignment horizontal="left"/>
    </xf>
    <xf numFmtId="0" fontId="24" fillId="0" borderId="1" xfId="0" applyFont="1" applyBorder="1" applyAlignment="1">
      <alignment horizontal="left"/>
    </xf>
    <xf numFmtId="17" fontId="24" fillId="0" borderId="1" xfId="0" applyNumberFormat="1" applyFont="1" applyBorder="1" applyAlignment="1">
      <alignment horizontal="right"/>
    </xf>
    <xf numFmtId="0" fontId="18" fillId="0" borderId="1" xfId="1" applyBorder="1" applyAlignment="1">
      <alignment horizontal="left"/>
    </xf>
    <xf numFmtId="0" fontId="27" fillId="0" borderId="4" xfId="0" applyFont="1" applyBorder="1" applyAlignment="1">
      <alignment vertical="center"/>
    </xf>
    <xf numFmtId="0" fontId="27" fillId="0" borderId="10" xfId="0" applyFont="1" applyBorder="1" applyAlignment="1">
      <alignment vertical="center"/>
    </xf>
    <xf numFmtId="0" fontId="27" fillId="0" borderId="1" xfId="0" applyFont="1" applyBorder="1" applyAlignment="1">
      <alignment vertical="center"/>
    </xf>
    <xf numFmtId="0" fontId="31" fillId="0" borderId="1" xfId="0" applyFont="1" applyBorder="1"/>
    <xf numFmtId="17" fontId="24" fillId="0" borderId="1" xfId="0" quotePrefix="1" applyNumberFormat="1" applyFont="1" applyBorder="1"/>
    <xf numFmtId="15" fontId="24" fillId="0" borderId="1" xfId="0" applyNumberFormat="1" applyFont="1" applyBorder="1" applyAlignment="1">
      <alignment horizontal="left"/>
    </xf>
    <xf numFmtId="0" fontId="31" fillId="0" borderId="0" xfId="0" applyFont="1"/>
    <xf numFmtId="0" fontId="24" fillId="0" borderId="0" xfId="0" applyFont="1" applyAlignment="1">
      <alignment horizontal="right"/>
    </xf>
    <xf numFmtId="0" fontId="24" fillId="0" borderId="0" xfId="0" applyFont="1" applyAlignment="1">
      <alignment horizontal="left"/>
    </xf>
    <xf numFmtId="17" fontId="24" fillId="0" borderId="0" xfId="0" applyNumberFormat="1" applyFont="1" applyAlignment="1">
      <alignment horizontal="right"/>
    </xf>
    <xf numFmtId="0" fontId="32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3" fillId="0" borderId="0" xfId="0" applyFont="1" applyAlignment="1">
      <alignment horizontal="left" vertical="center"/>
    </xf>
    <xf numFmtId="165" fontId="13" fillId="12" borderId="2" xfId="0" applyNumberFormat="1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3" fontId="8" fillId="0" borderId="0" xfId="0" applyNumberFormat="1" applyFont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center" indent="1"/>
    </xf>
    <xf numFmtId="0" fontId="35" fillId="0" borderId="0" xfId="0" applyFont="1" applyAlignment="1">
      <alignment horizontal="left" vertical="center" indent="4"/>
    </xf>
    <xf numFmtId="0" fontId="5" fillId="6" borderId="38" xfId="0" applyFont="1" applyFill="1" applyBorder="1" applyAlignment="1">
      <alignment vertical="center"/>
    </xf>
    <xf numFmtId="0" fontId="5" fillId="6" borderId="31" xfId="0" applyFont="1" applyFill="1" applyBorder="1" applyAlignment="1">
      <alignment vertical="center"/>
    </xf>
    <xf numFmtId="0" fontId="5" fillId="6" borderId="36" xfId="0" applyFont="1" applyFill="1" applyBorder="1" applyAlignment="1">
      <alignment vertical="center"/>
    </xf>
    <xf numFmtId="1" fontId="5" fillId="16" borderId="23" xfId="0" applyNumberFormat="1" applyFont="1" applyFill="1" applyBorder="1" applyAlignment="1">
      <alignment horizontal="right" vertical="center"/>
    </xf>
    <xf numFmtId="166" fontId="3" fillId="16" borderId="24" xfId="0" applyNumberFormat="1" applyFont="1" applyFill="1" applyBorder="1" applyAlignment="1">
      <alignment vertical="center"/>
    </xf>
    <xf numFmtId="3" fontId="3" fillId="16" borderId="24" xfId="0" applyNumberFormat="1" applyFont="1" applyFill="1" applyBorder="1" applyAlignment="1">
      <alignment vertical="center"/>
    </xf>
    <xf numFmtId="3" fontId="3" fillId="16" borderId="25" xfId="0" applyNumberFormat="1" applyFont="1" applyFill="1" applyBorder="1" applyAlignment="1">
      <alignment vertical="center"/>
    </xf>
    <xf numFmtId="3" fontId="5" fillId="16" borderId="25" xfId="0" applyNumberFormat="1" applyFont="1" applyFill="1" applyBorder="1" applyAlignment="1">
      <alignment vertical="center"/>
    </xf>
    <xf numFmtId="1" fontId="5" fillId="17" borderId="26" xfId="0" quotePrefix="1" applyNumberFormat="1" applyFont="1" applyFill="1" applyBorder="1" applyAlignment="1">
      <alignment horizontal="right" vertical="top"/>
    </xf>
    <xf numFmtId="166" fontId="3" fillId="17" borderId="1" xfId="0" quotePrefix="1" applyNumberFormat="1" applyFont="1" applyFill="1" applyBorder="1" applyAlignment="1">
      <alignment horizontal="right" vertical="top"/>
    </xf>
    <xf numFmtId="3" fontId="3" fillId="17" borderId="1" xfId="0" quotePrefix="1" applyNumberFormat="1" applyFont="1" applyFill="1" applyBorder="1" applyAlignment="1">
      <alignment horizontal="right" vertical="top"/>
    </xf>
    <xf numFmtId="3" fontId="3" fillId="17" borderId="27" xfId="0" quotePrefix="1" applyNumberFormat="1" applyFont="1" applyFill="1" applyBorder="1" applyAlignment="1">
      <alignment horizontal="right" vertical="top"/>
    </xf>
    <xf numFmtId="3" fontId="5" fillId="17" borderId="27" xfId="0" quotePrefix="1" applyNumberFormat="1" applyFont="1" applyFill="1" applyBorder="1" applyAlignment="1">
      <alignment horizontal="right" vertical="top"/>
    </xf>
    <xf numFmtId="1" fontId="5" fillId="16" borderId="26" xfId="0" applyNumberFormat="1" applyFont="1" applyFill="1" applyBorder="1" applyAlignment="1">
      <alignment horizontal="right" vertical="center"/>
    </xf>
    <xf numFmtId="166" fontId="3" fillId="16" borderId="1" xfId="0" applyNumberFormat="1" applyFont="1" applyFill="1" applyBorder="1" applyAlignment="1">
      <alignment vertical="center"/>
    </xf>
    <xf numFmtId="3" fontId="3" fillId="16" borderId="1" xfId="0" applyNumberFormat="1" applyFont="1" applyFill="1" applyBorder="1" applyAlignment="1">
      <alignment vertical="center"/>
    </xf>
    <xf numFmtId="3" fontId="3" fillId="16" borderId="27" xfId="0" applyNumberFormat="1" applyFont="1" applyFill="1" applyBorder="1" applyAlignment="1">
      <alignment vertical="center"/>
    </xf>
    <xf numFmtId="3" fontId="5" fillId="16" borderId="27" xfId="0" applyNumberFormat="1" applyFont="1" applyFill="1" applyBorder="1" applyAlignment="1">
      <alignment vertical="center"/>
    </xf>
    <xf numFmtId="0" fontId="3" fillId="0" borderId="0" xfId="0" applyFont="1"/>
    <xf numFmtId="1" fontId="5" fillId="16" borderId="28" xfId="0" applyNumberFormat="1" applyFont="1" applyFill="1" applyBorder="1" applyAlignment="1">
      <alignment horizontal="right" vertical="center"/>
    </xf>
    <xf numFmtId="166" fontId="3" fillId="16" borderId="29" xfId="0" applyNumberFormat="1" applyFont="1" applyFill="1" applyBorder="1" applyAlignment="1">
      <alignment vertical="center"/>
    </xf>
    <xf numFmtId="3" fontId="3" fillId="16" borderId="29" xfId="0" applyNumberFormat="1" applyFont="1" applyFill="1" applyBorder="1" applyAlignment="1">
      <alignment vertical="center"/>
    </xf>
    <xf numFmtId="3" fontId="3" fillId="16" borderId="30" xfId="0" applyNumberFormat="1" applyFont="1" applyFill="1" applyBorder="1" applyAlignment="1">
      <alignment vertical="center"/>
    </xf>
    <xf numFmtId="1" fontId="5" fillId="16" borderId="39" xfId="0" applyNumberFormat="1" applyFont="1" applyFill="1" applyBorder="1" applyAlignment="1">
      <alignment horizontal="right" vertical="center"/>
    </xf>
    <xf numFmtId="3" fontId="3" fillId="16" borderId="4" xfId="0" applyNumberFormat="1" applyFont="1" applyFill="1" applyBorder="1" applyAlignment="1">
      <alignment vertical="center"/>
    </xf>
    <xf numFmtId="166" fontId="19" fillId="18" borderId="40" xfId="0" applyNumberFormat="1" applyFont="1" applyFill="1" applyBorder="1" applyAlignment="1">
      <alignment vertical="center"/>
    </xf>
    <xf numFmtId="1" fontId="5" fillId="17" borderId="20" xfId="0" quotePrefix="1" applyNumberFormat="1" applyFont="1" applyFill="1" applyBorder="1" applyAlignment="1">
      <alignment horizontal="right" vertical="top"/>
    </xf>
    <xf numFmtId="3" fontId="19" fillId="18" borderId="22" xfId="0" applyNumberFormat="1" applyFont="1" applyFill="1" applyBorder="1" applyAlignment="1">
      <alignment vertical="center"/>
    </xf>
    <xf numFmtId="0" fontId="39" fillId="2" borderId="0" xfId="0" applyFont="1" applyFill="1"/>
    <xf numFmtId="0" fontId="39" fillId="19" borderId="0" xfId="0" applyFont="1" applyFill="1"/>
    <xf numFmtId="0" fontId="40" fillId="0" borderId="0" xfId="0" applyFont="1" applyAlignment="1">
      <alignment horizontal="center" vertical="center"/>
    </xf>
    <xf numFmtId="0" fontId="35" fillId="0" borderId="0" xfId="0" applyFont="1" applyAlignment="1">
      <alignment horizontal="left" vertical="center" indent="14"/>
    </xf>
    <xf numFmtId="0" fontId="35" fillId="0" borderId="0" xfId="0" applyFont="1"/>
    <xf numFmtId="0" fontId="36" fillId="20" borderId="0" xfId="0" applyFont="1" applyFill="1" applyBorder="1" applyAlignment="1">
      <alignment horizontal="center" vertical="center"/>
    </xf>
    <xf numFmtId="0" fontId="38" fillId="2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3" fontId="0" fillId="0" borderId="0" xfId="0" applyNumberFormat="1"/>
    <xf numFmtId="44" fontId="4" fillId="19" borderId="0" xfId="0" applyNumberFormat="1" applyFont="1" applyFill="1"/>
    <xf numFmtId="44" fontId="4" fillId="0" borderId="0" xfId="0" applyNumberFormat="1" applyFont="1"/>
    <xf numFmtId="44" fontId="4" fillId="2" borderId="0" xfId="0" applyNumberFormat="1" applyFont="1" applyFill="1"/>
    <xf numFmtId="44" fontId="42" fillId="2" borderId="0" xfId="0" applyNumberFormat="1" applyFont="1" applyFill="1" applyAlignment="1">
      <alignment horizontal="left" vertical="center" indent="1"/>
    </xf>
    <xf numFmtId="10" fontId="38" fillId="20" borderId="0" xfId="0" applyNumberFormat="1" applyFont="1" applyFill="1" applyBorder="1" applyAlignment="1">
      <alignment horizontal="center" vertical="center"/>
    </xf>
    <xf numFmtId="10" fontId="4" fillId="19" borderId="0" xfId="0" applyNumberFormat="1" applyFont="1" applyFill="1"/>
    <xf numFmtId="10" fontId="4" fillId="0" borderId="0" xfId="0" applyNumberFormat="1" applyFont="1"/>
    <xf numFmtId="9" fontId="4" fillId="2" borderId="0" xfId="0" applyNumberFormat="1" applyFont="1" applyFill="1"/>
    <xf numFmtId="9" fontId="4" fillId="19" borderId="0" xfId="0" applyNumberFormat="1" applyFont="1" applyFill="1"/>
    <xf numFmtId="9" fontId="4" fillId="0" borderId="0" xfId="0" applyNumberFormat="1" applyFont="1"/>
    <xf numFmtId="9" fontId="39" fillId="2" borderId="0" xfId="0" applyNumberFormat="1" applyFont="1" applyFill="1"/>
    <xf numFmtId="44" fontId="39" fillId="2" borderId="0" xfId="0" applyNumberFormat="1" applyFont="1" applyFill="1"/>
    <xf numFmtId="9" fontId="39" fillId="19" borderId="0" xfId="2" applyFont="1" applyFill="1"/>
    <xf numFmtId="167" fontId="0" fillId="0" borderId="0" xfId="2" applyNumberFormat="1" applyFont="1" applyAlignment="1">
      <alignment horizontal="left" indent="1"/>
    </xf>
    <xf numFmtId="0" fontId="18" fillId="0" borderId="1" xfId="1" quotePrefix="1" applyBorder="1"/>
    <xf numFmtId="164" fontId="25" fillId="13" borderId="0" xfId="0" applyNumberFormat="1" applyFont="1" applyFill="1" applyBorder="1" applyAlignment="1">
      <alignment horizontal="center" vertical="center"/>
    </xf>
    <xf numFmtId="0" fontId="27" fillId="0" borderId="0" xfId="0" applyFont="1" applyBorder="1" applyAlignment="1">
      <alignment vertical="center"/>
    </xf>
    <xf numFmtId="0" fontId="24" fillId="0" borderId="0" xfId="0" applyFont="1" applyBorder="1"/>
    <xf numFmtId="0" fontId="30" fillId="5" borderId="0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right"/>
    </xf>
    <xf numFmtId="15" fontId="24" fillId="0" borderId="0" xfId="0" applyNumberFormat="1" applyFont="1" applyBorder="1" applyAlignment="1">
      <alignment horizontal="left"/>
    </xf>
    <xf numFmtId="0" fontId="43" fillId="0" borderId="27" xfId="0" applyFont="1" applyBorder="1" applyAlignment="1">
      <alignment horizontal="center"/>
    </xf>
    <xf numFmtId="0" fontId="18" fillId="0" borderId="1" xfId="1" applyBorder="1"/>
    <xf numFmtId="0" fontId="43" fillId="2" borderId="27" xfId="0" applyFont="1" applyFill="1" applyBorder="1" applyAlignment="1">
      <alignment horizontal="center"/>
    </xf>
    <xf numFmtId="0" fontId="31" fillId="23" borderId="26" xfId="0" applyFont="1" applyFill="1" applyBorder="1"/>
    <xf numFmtId="0" fontId="24" fillId="23" borderId="1" xfId="0" applyFont="1" applyFill="1" applyBorder="1"/>
    <xf numFmtId="17" fontId="24" fillId="23" borderId="1" xfId="0" applyNumberFormat="1" applyFont="1" applyFill="1" applyBorder="1" applyAlignment="1">
      <alignment horizontal="right"/>
    </xf>
    <xf numFmtId="0" fontId="24" fillId="23" borderId="27" xfId="0" applyFont="1" applyFill="1" applyBorder="1"/>
    <xf numFmtId="0" fontId="24" fillId="23" borderId="27" xfId="0" applyFont="1" applyFill="1" applyBorder="1" applyAlignment="1">
      <alignment horizontal="center"/>
    </xf>
    <xf numFmtId="0" fontId="18" fillId="23" borderId="26" xfId="1" applyFill="1" applyBorder="1"/>
    <xf numFmtId="0" fontId="18" fillId="0" borderId="0" xfId="1" applyAlignment="1">
      <alignment vertical="center"/>
    </xf>
    <xf numFmtId="0" fontId="44" fillId="0" borderId="0" xfId="0" applyFont="1" applyAlignment="1">
      <alignment vertical="center"/>
    </xf>
    <xf numFmtId="0" fontId="4" fillId="0" borderId="41" xfId="0" applyFont="1" applyBorder="1" applyAlignment="1">
      <alignment horizontal="left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 indent="1"/>
    </xf>
    <xf numFmtId="0" fontId="4" fillId="0" borderId="43" xfId="0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 indent="1"/>
    </xf>
    <xf numFmtId="0" fontId="4" fillId="0" borderId="44" xfId="0" applyFont="1" applyBorder="1" applyAlignment="1">
      <alignment horizontal="left" vertical="center" wrapText="1"/>
    </xf>
    <xf numFmtId="3" fontId="4" fillId="0" borderId="45" xfId="0" applyNumberFormat="1" applyFont="1" applyBorder="1" applyAlignment="1">
      <alignment horizontal="center" vertical="center" wrapText="1"/>
    </xf>
    <xf numFmtId="3" fontId="4" fillId="0" borderId="45" xfId="0" applyNumberFormat="1" applyFont="1" applyBorder="1" applyAlignment="1">
      <alignment horizontal="left" vertical="center" wrapText="1" indent="1"/>
    </xf>
    <xf numFmtId="0" fontId="36" fillId="15" borderId="37" xfId="0" applyFont="1" applyFill="1" applyBorder="1" applyAlignment="1">
      <alignment horizontal="center" vertical="center"/>
    </xf>
    <xf numFmtId="166" fontId="2" fillId="16" borderId="24" xfId="0" applyNumberFormat="1" applyFont="1" applyFill="1" applyBorder="1" applyAlignment="1">
      <alignment vertical="center"/>
    </xf>
    <xf numFmtId="166" fontId="2" fillId="17" borderId="1" xfId="0" quotePrefix="1" applyNumberFormat="1" applyFont="1" applyFill="1" applyBorder="1" applyAlignment="1">
      <alignment horizontal="right" vertical="top"/>
    </xf>
    <xf numFmtId="166" fontId="2" fillId="16" borderId="1" xfId="0" applyNumberFormat="1" applyFont="1" applyFill="1" applyBorder="1" applyAlignment="1">
      <alignment vertical="center"/>
    </xf>
    <xf numFmtId="166" fontId="2" fillId="16" borderId="29" xfId="0" applyNumberFormat="1" applyFont="1" applyFill="1" applyBorder="1" applyAlignment="1">
      <alignment vertical="center"/>
    </xf>
    <xf numFmtId="0" fontId="36" fillId="15" borderId="37" xfId="0" applyFont="1" applyFill="1" applyBorder="1" applyAlignment="1">
      <alignment vertical="center"/>
    </xf>
    <xf numFmtId="0" fontId="18" fillId="0" borderId="0" xfId="1"/>
    <xf numFmtId="1" fontId="4" fillId="0" borderId="0" xfId="0" applyNumberFormat="1" applyFont="1"/>
    <xf numFmtId="1" fontId="4" fillId="0" borderId="42" xfId="0" applyNumberFormat="1" applyFont="1" applyBorder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1" fontId="4" fillId="0" borderId="45" xfId="0" applyNumberFormat="1" applyFont="1" applyBorder="1" applyAlignment="1">
      <alignment horizontal="center" vertical="center" wrapText="1"/>
    </xf>
    <xf numFmtId="166" fontId="0" fillId="0" borderId="0" xfId="0" applyNumberFormat="1"/>
    <xf numFmtId="9" fontId="0" fillId="0" borderId="0" xfId="2" applyFont="1"/>
    <xf numFmtId="9" fontId="0" fillId="19" borderId="0" xfId="2" applyFont="1" applyFill="1"/>
    <xf numFmtId="9" fontId="0" fillId="2" borderId="0" xfId="2" applyFont="1" applyFill="1"/>
    <xf numFmtId="44" fontId="39" fillId="19" borderId="0" xfId="3" applyFont="1" applyFill="1"/>
    <xf numFmtId="0" fontId="1" fillId="3" borderId="0" xfId="4" applyFont="1" applyFill="1" applyAlignment="1">
      <alignment vertical="center"/>
    </xf>
    <xf numFmtId="0" fontId="1" fillId="8" borderId="0" xfId="4" applyFont="1" applyFill="1" applyAlignment="1">
      <alignment vertical="center"/>
    </xf>
    <xf numFmtId="0" fontId="1" fillId="0" borderId="0" xfId="5"/>
    <xf numFmtId="0" fontId="14" fillId="8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" fillId="4" borderId="0" xfId="4" applyFont="1" applyFill="1" applyAlignment="1">
      <alignment vertical="center"/>
    </xf>
    <xf numFmtId="0" fontId="7" fillId="8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1" fillId="3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9" fillId="3" borderId="0" xfId="4" applyFont="1" applyFill="1" applyAlignment="1">
      <alignment vertical="center"/>
    </xf>
    <xf numFmtId="164" fontId="9" fillId="3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3" fillId="3" borderId="0" xfId="4" applyFont="1" applyFill="1" applyAlignment="1">
      <alignment vertical="center"/>
    </xf>
    <xf numFmtId="0" fontId="12" fillId="3" borderId="0" xfId="6" applyFill="1" applyAlignment="1">
      <alignment vertical="center"/>
    </xf>
    <xf numFmtId="0" fontId="9" fillId="0" borderId="0" xfId="0" applyFont="1" applyBorder="1" applyAlignment="1">
      <alignment horizontal="left" vertical="center"/>
    </xf>
    <xf numFmtId="2" fontId="9" fillId="14" borderId="0" xfId="0" applyNumberFormat="1" applyFont="1" applyFill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9" fontId="9" fillId="14" borderId="0" xfId="2" applyFont="1" applyFill="1" applyBorder="1" applyAlignment="1">
      <alignment horizontal="left" vertical="center"/>
    </xf>
    <xf numFmtId="9" fontId="39" fillId="19" borderId="19" xfId="2" applyFont="1" applyFill="1" applyBorder="1"/>
    <xf numFmtId="9" fontId="39" fillId="19" borderId="17" xfId="2" applyFont="1" applyFill="1" applyBorder="1"/>
    <xf numFmtId="9" fontId="39" fillId="2" borderId="17" xfId="2" applyFont="1" applyFill="1" applyBorder="1"/>
    <xf numFmtId="9" fontId="39" fillId="2" borderId="7" xfId="2" applyFont="1" applyFill="1" applyBorder="1"/>
    <xf numFmtId="1" fontId="5" fillId="17" borderId="39" xfId="0" quotePrefix="1" applyNumberFormat="1" applyFont="1" applyFill="1" applyBorder="1" applyAlignment="1">
      <alignment horizontal="right" vertical="top"/>
    </xf>
    <xf numFmtId="1" fontId="5" fillId="17" borderId="48" xfId="0" quotePrefix="1" applyNumberFormat="1" applyFont="1" applyFill="1" applyBorder="1" applyAlignment="1">
      <alignment horizontal="right" vertical="top"/>
    </xf>
    <xf numFmtId="1" fontId="5" fillId="16" borderId="47" xfId="0" applyNumberFormat="1" applyFont="1" applyFill="1" applyBorder="1" applyAlignment="1">
      <alignment horizontal="right" vertical="center"/>
    </xf>
    <xf numFmtId="0" fontId="9" fillId="0" borderId="37" xfId="0" applyFont="1" applyBorder="1" applyAlignment="1">
      <alignment horizontal="left" vertical="center"/>
    </xf>
    <xf numFmtId="2" fontId="9" fillId="14" borderId="37" xfId="0" applyNumberFormat="1" applyFont="1" applyFill="1" applyBorder="1" applyAlignment="1">
      <alignment horizontal="left" vertical="center"/>
    </xf>
    <xf numFmtId="0" fontId="8" fillId="0" borderId="37" xfId="0" applyFont="1" applyBorder="1" applyAlignment="1">
      <alignment horizontal="left" vertical="center"/>
    </xf>
    <xf numFmtId="9" fontId="9" fillId="14" borderId="37" xfId="2" applyFont="1" applyFill="1" applyBorder="1" applyAlignment="1">
      <alignment horizontal="left" vertical="center"/>
    </xf>
    <xf numFmtId="165" fontId="13" fillId="12" borderId="37" xfId="0" applyNumberFormat="1" applyFont="1" applyFill="1" applyBorder="1" applyAlignment="1">
      <alignment horizontal="left" vertical="center" wrapText="1"/>
    </xf>
    <xf numFmtId="0" fontId="23" fillId="0" borderId="37" xfId="0" applyFont="1" applyBorder="1" applyAlignment="1">
      <alignment horizontal="left" vertical="center"/>
    </xf>
    <xf numFmtId="0" fontId="13" fillId="12" borderId="37" xfId="0" applyFont="1" applyFill="1" applyBorder="1" applyAlignment="1">
      <alignment horizontal="left" vertical="center" wrapText="1"/>
    </xf>
    <xf numFmtId="0" fontId="9" fillId="0" borderId="18" xfId="0" applyFont="1" applyBorder="1" applyAlignment="1">
      <alignment horizontal="left" vertical="center"/>
    </xf>
    <xf numFmtId="2" fontId="9" fillId="14" borderId="18" xfId="0" applyNumberFormat="1" applyFont="1" applyFill="1" applyBorder="1" applyAlignment="1">
      <alignment horizontal="left" vertical="center"/>
    </xf>
    <xf numFmtId="0" fontId="8" fillId="0" borderId="18" xfId="0" applyFont="1" applyBorder="1" applyAlignment="1">
      <alignment horizontal="left" vertical="center"/>
    </xf>
    <xf numFmtId="9" fontId="9" fillId="14" borderId="18" xfId="2" applyFont="1" applyFill="1" applyBorder="1" applyAlignment="1">
      <alignment horizontal="left" vertical="center"/>
    </xf>
    <xf numFmtId="167" fontId="0" fillId="8" borderId="0" xfId="2" applyNumberFormat="1" applyFont="1" applyFill="1" applyAlignment="1">
      <alignment horizontal="left" indent="1"/>
    </xf>
    <xf numFmtId="0" fontId="9" fillId="3" borderId="0" xfId="4" applyFont="1" applyFill="1" applyAlignment="1">
      <alignment vertical="center"/>
    </xf>
    <xf numFmtId="0" fontId="14" fillId="3" borderId="0" xfId="4" applyFont="1" applyFill="1" applyAlignment="1">
      <alignment horizontal="center" vertical="center"/>
    </xf>
    <xf numFmtId="0" fontId="12" fillId="3" borderId="0" xfId="6" applyFill="1" applyAlignment="1">
      <alignment vertical="center"/>
    </xf>
    <xf numFmtId="164" fontId="25" fillId="13" borderId="19" xfId="0" applyNumberFormat="1" applyFont="1" applyFill="1" applyBorder="1" applyAlignment="1">
      <alignment horizontal="center" vertical="center"/>
    </xf>
    <xf numFmtId="164" fontId="25" fillId="13" borderId="17" xfId="0" applyNumberFormat="1" applyFont="1" applyFill="1" applyBorder="1" applyAlignment="1">
      <alignment horizontal="center" vertical="center"/>
    </xf>
    <xf numFmtId="164" fontId="25" fillId="13" borderId="7" xfId="0" applyNumberFormat="1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0" fontId="30" fillId="5" borderId="18" xfId="0" applyFont="1" applyFill="1" applyBorder="1" applyAlignment="1">
      <alignment horizontal="center" vertical="center"/>
    </xf>
    <xf numFmtId="0" fontId="30" fillId="5" borderId="32" xfId="0" applyFont="1" applyFill="1" applyBorder="1" applyAlignment="1">
      <alignment horizontal="center" vertical="center"/>
    </xf>
    <xf numFmtId="164" fontId="25" fillId="7" borderId="31" xfId="0" applyNumberFormat="1" applyFont="1" applyFill="1" applyBorder="1" applyAlignment="1">
      <alignment horizontal="center" vertical="center"/>
    </xf>
    <xf numFmtId="164" fontId="25" fillId="7" borderId="32" xfId="0" applyNumberFormat="1" applyFont="1" applyFill="1" applyBorder="1" applyAlignment="1">
      <alignment horizontal="center" vertical="center"/>
    </xf>
    <xf numFmtId="0" fontId="38" fillId="22" borderId="46" xfId="0" applyFont="1" applyFill="1" applyBorder="1" applyAlignment="1">
      <alignment horizontal="center" vertical="center"/>
    </xf>
    <xf numFmtId="0" fontId="38" fillId="22" borderId="0" xfId="0" applyFont="1" applyFill="1" applyBorder="1" applyAlignment="1">
      <alignment horizontal="center" vertical="center"/>
    </xf>
    <xf numFmtId="0" fontId="37" fillId="15" borderId="37" xfId="0" applyFont="1" applyFill="1" applyBorder="1" applyAlignment="1">
      <alignment horizontal="center" vertical="center"/>
    </xf>
    <xf numFmtId="0" fontId="19" fillId="15" borderId="19" xfId="0" applyFont="1" applyFill="1" applyBorder="1" applyAlignment="1">
      <alignment horizontal="center" vertical="center"/>
    </xf>
    <xf numFmtId="0" fontId="19" fillId="15" borderId="17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0" fontId="38" fillId="21" borderId="19" xfId="0" applyFont="1" applyFill="1" applyBorder="1" applyAlignment="1">
      <alignment horizontal="center" vertical="center" wrapText="1"/>
    </xf>
    <xf numFmtId="0" fontId="38" fillId="21" borderId="17" xfId="0" applyFont="1" applyFill="1" applyBorder="1" applyAlignment="1">
      <alignment horizontal="center" vertical="center" wrapText="1"/>
    </xf>
    <xf numFmtId="0" fontId="38" fillId="21" borderId="7" xfId="0" applyFont="1" applyFill="1" applyBorder="1" applyAlignment="1">
      <alignment horizontal="center" vertical="center" wrapText="1"/>
    </xf>
  </cellXfs>
  <cellStyles count="7">
    <cellStyle name="Currency" xfId="3" builtinId="4"/>
    <cellStyle name="Hyperlink" xfId="1" builtinId="8"/>
    <cellStyle name="Hyperlink 2" xfId="6" xr:uid="{37EFECFA-CBA6-4D00-925F-28E9B62EC2C7}"/>
    <cellStyle name="Normal" xfId="0" builtinId="0"/>
    <cellStyle name="Normal 2" xfId="4" xr:uid="{F50BA982-35C5-4C5E-8F0A-41822741DCC7}"/>
    <cellStyle name="Normal 3" xfId="5" xr:uid="{F464E3EA-5528-423F-8BC9-6A8F84DE3D12}"/>
    <cellStyle name="Percent" xfId="2" builtinId="5"/>
  </cellStyles>
  <dxfs count="1">
    <dxf>
      <fill>
        <patternFill>
          <bgColor rgb="FFFFFF00"/>
        </patternFill>
      </fill>
    </dxf>
  </dxfs>
  <tableStyles count="1" defaultTableStyle="TableStyleMedium2" defaultPivotStyle="PivotStyleLight16">
    <tableStyle name="Table Style 1" pivot="0" count="1" xr9:uid="{6466AE88-DD34-414A-9E08-915E3C7C4193}">
      <tableStyleElement type="firstRowStripe" dxfId="0"/>
    </tableStyle>
  </tableStyles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45A9FD9-E3F3-4C7E-9EAB-E130B60ED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F1293BF-ACD7-4D46-925A-9ABDE228D1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AF7C45-6EE0-471D-84D6-6989A222E6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D5852E-5303-4F43-88E7-2F12372269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43F55EB-4046-4F0D-B5E5-495B6F86DC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D6E207B-8B61-4B7E-BC6A-47231017610E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29</xdr:row>
      <xdr:rowOff>76200</xdr:rowOff>
    </xdr:from>
    <xdr:to>
      <xdr:col>6</xdr:col>
      <xdr:colOff>447675</xdr:colOff>
      <xdr:row>31</xdr:row>
      <xdr:rowOff>142875</xdr:rowOff>
    </xdr:to>
    <xdr:sp macro="" textlink="">
      <xdr:nvSpPr>
        <xdr:cNvPr id="107524" name="Text Box 4">
          <a:extLst>
            <a:ext uri="{FF2B5EF4-FFF2-40B4-BE49-F238E27FC236}">
              <a16:creationId xmlns:a16="http://schemas.microsoft.com/office/drawing/2014/main" id="{71F21DD2-5821-44C9-9A8C-C8AF6C919CE5}"/>
            </a:ext>
          </a:extLst>
        </xdr:cNvPr>
        <xdr:cNvSpPr txBox="1">
          <a:spLocks noChangeArrowheads="1"/>
        </xdr:cNvSpPr>
      </xdr:nvSpPr>
      <xdr:spPr bwMode="auto">
        <a:xfrm>
          <a:off x="476250" y="4219575"/>
          <a:ext cx="6600825" cy="390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P1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P2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P3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P4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P5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P6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P7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P8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P9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A to NZEB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600" b="0" i="0" u="none" strike="noStrike" baseline="0">
              <a:solidFill>
                <a:srgbClr val="000000"/>
              </a:solidFill>
              <a:latin typeface="Cambria"/>
              <a:ea typeface="Cambria"/>
            </a:rPr>
            <a:t>5000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</a:endParaRPr>
        </a:p>
        <a:p>
          <a:pPr algn="l" rtl="0">
            <a:defRPr sz="1000"/>
          </a:pPr>
          <a:r>
            <a:rPr lang="en-IE" sz="7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  <a:endParaRPr lang="en-IE" sz="1100" b="0" i="0" u="none" strike="noStrike" baseline="0">
            <a:solidFill>
              <a:srgbClr val="000000"/>
            </a:solidFill>
            <a:latin typeface="Cambria"/>
            <a:ea typeface="Cambria"/>
            <a:cs typeface="Times New Roman"/>
          </a:endParaRPr>
        </a:p>
        <a:p>
          <a:pPr algn="l" rtl="0">
            <a:defRPr sz="1000"/>
          </a:pPr>
          <a:r>
            <a:rPr lang="en-IE" sz="800" b="0" i="0" u="none" strike="noStrike" baseline="0">
              <a:solidFill>
                <a:srgbClr val="000000"/>
              </a:solidFill>
              <a:latin typeface="Cambria"/>
              <a:ea typeface="Cambria"/>
            </a:rPr>
            <a:t>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180975</xdr:colOff>
      <xdr:row>6</xdr:row>
      <xdr:rowOff>158315</xdr:rowOff>
    </xdr:from>
    <xdr:to>
      <xdr:col>7</xdr:col>
      <xdr:colOff>608018</xdr:colOff>
      <xdr:row>9</xdr:row>
      <xdr:rowOff>136090</xdr:rowOff>
    </xdr:to>
    <xdr:sp macro="" textlink="">
      <xdr:nvSpPr>
        <xdr:cNvPr id="3" name="Arrow: Right 2">
          <a:extLst>
            <a:ext uri="{FF2B5EF4-FFF2-40B4-BE49-F238E27FC236}">
              <a16:creationId xmlns:a16="http://schemas.microsoft.com/office/drawing/2014/main" id="{3348F246-B61E-4F75-AF4A-3D60A95D6F44}"/>
            </a:ext>
          </a:extLst>
        </xdr:cNvPr>
        <xdr:cNvSpPr/>
      </xdr:nvSpPr>
      <xdr:spPr>
        <a:xfrm rot="10800000">
          <a:off x="4448175" y="1348940"/>
          <a:ext cx="427043" cy="549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so.ie/en/csolatestnews/presspages/2017/census2016profile1-housinginireland/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%20Rating.pdf.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doi.org/10.1080/00036846.2017.1302068" TargetMode="External"/><Relationship Id="rId4" Type="http://schemas.openxmlformats.org/officeDocument/2006/relationships/hyperlink" Target="https://ndber.seai.ie/pass/ber/search.aspx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episcope.eu/fileadmin/tabula/public/docs/brochure/IE_TABULA_TypologyBrochure_EnergyAction.pdf" TargetMode="External"/><Relationship Id="rId2" Type="http://schemas.openxmlformats.org/officeDocument/2006/relationships/hyperlink" Target="https://episcope.eu/fileadmin/tabula/public/docs/brochure/IE_TABULA_TypologyBrochure_EnergyAction.pdf" TargetMode="External"/><Relationship Id="rId1" Type="http://schemas.openxmlformats.org/officeDocument/2006/relationships/hyperlink" Target="http://www.seai.ie/Your_Building/BER/Your_Guide_to_Building_Energy_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esru.strath.ac.uk/EandE/Web_sites/16-17/Retrofit/uploads/1/0/5/7/105723345/phpp_sap_and_sbem_comparison_stud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22E9-11A6-419E-94F4-DF9E7F2A9822}">
  <sheetPr codeName="Sheet3"/>
  <dimension ref="A1:Z99"/>
  <sheetViews>
    <sheetView showGridLines="0" zoomScaleNormal="100" workbookViewId="0">
      <selection activeCell="B26" sqref="B26:D26"/>
    </sheetView>
  </sheetViews>
  <sheetFormatPr defaultColWidth="8.85546875" defaultRowHeight="15" x14ac:dyDescent="0.25"/>
  <cols>
    <col min="1" max="4" width="21.7109375" style="170" customWidth="1"/>
    <col min="5" max="6" width="14.140625" style="170" customWidth="1"/>
    <col min="7" max="7" width="12.140625" style="170" customWidth="1"/>
    <col min="8" max="10" width="8.140625" style="170" customWidth="1"/>
    <col min="11" max="11" width="9.7109375" style="170" customWidth="1"/>
    <col min="12" max="12" width="8.140625" style="170" customWidth="1"/>
    <col min="13" max="13" width="10" style="170" customWidth="1"/>
    <col min="14" max="14" width="11.42578125" style="170" customWidth="1"/>
    <col min="15" max="15" width="13.42578125" style="170" customWidth="1"/>
    <col min="16" max="16384" width="8.85546875" style="170"/>
  </cols>
  <sheetData>
    <row r="1" spans="1:26" x14ac:dyDescent="0.25">
      <c r="A1" s="168"/>
      <c r="B1" s="168"/>
      <c r="C1" s="168"/>
      <c r="D1" s="168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</row>
    <row r="2" spans="1:26" x14ac:dyDescent="0.25">
      <c r="A2" s="168"/>
      <c r="B2" s="168"/>
      <c r="C2" s="168"/>
      <c r="D2" s="168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</row>
    <row r="3" spans="1:26" x14ac:dyDescent="0.25">
      <c r="A3" s="168"/>
      <c r="B3" s="168"/>
      <c r="C3" s="168"/>
      <c r="D3" s="168"/>
      <c r="E3" s="169"/>
      <c r="F3" s="169"/>
      <c r="G3" s="169"/>
      <c r="H3" s="169"/>
      <c r="I3" s="169"/>
      <c r="J3" s="169"/>
      <c r="K3" s="169"/>
      <c r="L3" s="169"/>
      <c r="M3" s="169"/>
      <c r="N3" s="169"/>
      <c r="O3" s="169"/>
      <c r="P3" s="169"/>
      <c r="Q3" s="169"/>
      <c r="R3" s="169"/>
      <c r="S3" s="169"/>
      <c r="T3" s="169"/>
      <c r="U3" s="169"/>
      <c r="V3" s="169"/>
      <c r="W3" s="169"/>
      <c r="X3" s="169"/>
      <c r="Y3" s="169"/>
      <c r="Z3" s="169"/>
    </row>
    <row r="4" spans="1:26" x14ac:dyDescent="0.25">
      <c r="A4" s="168"/>
      <c r="B4" s="168"/>
      <c r="C4" s="168"/>
      <c r="D4" s="168"/>
      <c r="E4" s="169"/>
      <c r="F4" s="169"/>
      <c r="G4" s="169"/>
      <c r="H4" s="169"/>
      <c r="I4" s="169"/>
      <c r="J4" s="169"/>
      <c r="K4" s="169"/>
      <c r="L4" s="169"/>
      <c r="M4" s="169"/>
      <c r="N4" s="169"/>
      <c r="O4" s="169"/>
      <c r="P4" s="169"/>
      <c r="Q4" s="169"/>
      <c r="R4" s="169"/>
      <c r="S4" s="169"/>
      <c r="T4" s="169"/>
      <c r="U4" s="169"/>
      <c r="V4" s="169"/>
      <c r="W4" s="169"/>
      <c r="X4" s="169"/>
      <c r="Y4" s="169"/>
      <c r="Z4" s="169"/>
    </row>
    <row r="5" spans="1:26" x14ac:dyDescent="0.25">
      <c r="A5" s="168"/>
      <c r="B5" s="168"/>
      <c r="C5" s="168"/>
      <c r="D5" s="168"/>
      <c r="E5" s="169"/>
      <c r="F5" s="169"/>
      <c r="G5" s="169"/>
      <c r="H5" s="169"/>
      <c r="I5" s="169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169"/>
      <c r="V5" s="169"/>
      <c r="W5" s="169"/>
      <c r="X5" s="169"/>
      <c r="Y5" s="169"/>
      <c r="Z5" s="169"/>
    </row>
    <row r="6" spans="1:26" x14ac:dyDescent="0.25">
      <c r="A6" s="168"/>
      <c r="B6" s="168"/>
      <c r="C6" s="168"/>
      <c r="D6" s="168"/>
      <c r="E6" s="169"/>
      <c r="F6" s="169"/>
      <c r="G6" s="169"/>
      <c r="H6" s="169"/>
      <c r="I6" s="169"/>
      <c r="J6" s="169"/>
      <c r="K6" s="169"/>
      <c r="L6" s="169"/>
      <c r="M6" s="169"/>
      <c r="N6" s="169"/>
      <c r="O6" s="169"/>
      <c r="P6" s="169"/>
      <c r="Q6" s="169"/>
      <c r="R6" s="169"/>
      <c r="S6" s="169"/>
      <c r="T6" s="169"/>
      <c r="U6" s="169"/>
      <c r="V6" s="169"/>
      <c r="W6" s="169"/>
      <c r="X6" s="169"/>
      <c r="Y6" s="169"/>
      <c r="Z6" s="169"/>
    </row>
    <row r="7" spans="1:26" x14ac:dyDescent="0.25">
      <c r="A7" s="168"/>
      <c r="B7" s="168"/>
      <c r="C7" s="168"/>
      <c r="D7" s="168"/>
      <c r="E7" s="169"/>
      <c r="F7" s="169"/>
      <c r="G7" s="169"/>
      <c r="H7" s="169"/>
      <c r="I7" s="169"/>
      <c r="J7" s="169"/>
      <c r="K7" s="169"/>
      <c r="L7" s="169"/>
      <c r="M7" s="169"/>
      <c r="N7" s="169"/>
      <c r="O7" s="169"/>
      <c r="P7" s="169"/>
      <c r="Q7" s="169"/>
      <c r="R7" s="169"/>
      <c r="S7" s="169"/>
      <c r="T7" s="169"/>
      <c r="U7" s="169"/>
      <c r="V7" s="169"/>
      <c r="W7" s="169"/>
      <c r="X7" s="169"/>
      <c r="Y7" s="169"/>
      <c r="Z7" s="169"/>
    </row>
    <row r="8" spans="1:26" x14ac:dyDescent="0.25">
      <c r="A8" s="168"/>
      <c r="B8" s="168"/>
      <c r="C8" s="168"/>
      <c r="D8" s="168"/>
      <c r="E8" s="169"/>
      <c r="F8" s="169"/>
      <c r="G8" s="169"/>
      <c r="H8" s="169"/>
      <c r="I8" s="169"/>
      <c r="J8" s="169"/>
      <c r="K8" s="169"/>
      <c r="L8" s="169"/>
      <c r="M8" s="169"/>
      <c r="N8" s="169"/>
      <c r="O8" s="169"/>
      <c r="P8" s="169"/>
      <c r="Q8" s="169"/>
      <c r="R8" s="169"/>
      <c r="S8" s="169"/>
      <c r="T8" s="169"/>
      <c r="U8" s="169"/>
      <c r="V8" s="169"/>
      <c r="W8" s="169"/>
      <c r="X8" s="169"/>
      <c r="Y8" s="169"/>
      <c r="Z8" s="169"/>
    </row>
    <row r="9" spans="1:26" x14ac:dyDescent="0.25">
      <c r="A9" s="168"/>
      <c r="B9" s="168"/>
      <c r="C9" s="168"/>
      <c r="D9" s="168"/>
      <c r="E9" s="169"/>
      <c r="F9" s="169"/>
      <c r="G9" s="169"/>
      <c r="H9" s="169"/>
      <c r="I9" s="169"/>
      <c r="J9" s="169"/>
      <c r="K9" s="169"/>
      <c r="L9" s="169"/>
      <c r="M9" s="169"/>
      <c r="N9" s="169"/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</row>
    <row r="10" spans="1:26" x14ac:dyDescent="0.25">
      <c r="A10" s="168"/>
      <c r="B10" s="168"/>
      <c r="C10" s="168"/>
      <c r="D10" s="168"/>
      <c r="E10" s="169"/>
      <c r="F10" s="169"/>
      <c r="G10" s="169"/>
      <c r="H10" s="169"/>
      <c r="I10" s="169"/>
      <c r="J10" s="169"/>
      <c r="K10" s="169"/>
      <c r="L10" s="169"/>
      <c r="M10" s="169"/>
      <c r="N10" s="169"/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</row>
    <row r="11" spans="1:26" x14ac:dyDescent="0.25">
      <c r="A11" s="168"/>
      <c r="B11" s="168"/>
      <c r="C11" s="168"/>
      <c r="D11" s="168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</row>
    <row r="12" spans="1:26" x14ac:dyDescent="0.25">
      <c r="A12" s="168"/>
      <c r="B12" s="168"/>
      <c r="C12" s="168"/>
      <c r="D12" s="168"/>
      <c r="E12" s="169"/>
      <c r="F12" s="169"/>
      <c r="G12" s="169"/>
      <c r="H12" s="169"/>
      <c r="I12" s="169"/>
      <c r="J12" s="169"/>
      <c r="K12" s="169"/>
      <c r="L12" s="169"/>
      <c r="M12" s="169"/>
      <c r="N12" s="169"/>
      <c r="O12" s="169"/>
      <c r="P12" s="169"/>
      <c r="Q12" s="169"/>
      <c r="R12" s="169"/>
      <c r="S12" s="169"/>
      <c r="T12" s="169"/>
      <c r="U12" s="169"/>
      <c r="V12" s="169"/>
      <c r="W12" s="169"/>
      <c r="X12" s="169"/>
      <c r="Y12" s="169"/>
      <c r="Z12" s="169"/>
    </row>
    <row r="13" spans="1:26" x14ac:dyDescent="0.25">
      <c r="A13" s="168"/>
      <c r="B13" s="168"/>
      <c r="C13" s="168"/>
      <c r="D13" s="168"/>
      <c r="E13" s="169"/>
      <c r="F13" s="169"/>
      <c r="G13" s="169"/>
      <c r="H13" s="169"/>
      <c r="I13" s="169"/>
      <c r="J13" s="169"/>
      <c r="K13" s="169"/>
      <c r="L13" s="169"/>
      <c r="M13" s="169"/>
      <c r="N13" s="169"/>
      <c r="O13" s="169"/>
      <c r="P13" s="169"/>
      <c r="Q13" s="169"/>
      <c r="R13" s="169"/>
      <c r="S13" s="169"/>
      <c r="T13" s="169"/>
      <c r="U13" s="169"/>
      <c r="V13" s="169"/>
      <c r="W13" s="169"/>
      <c r="X13" s="169"/>
      <c r="Y13" s="169"/>
      <c r="Z13" s="169"/>
    </row>
    <row r="14" spans="1:26" x14ac:dyDescent="0.25">
      <c r="A14" s="168"/>
      <c r="B14" s="168"/>
      <c r="C14" s="168"/>
      <c r="D14" s="168"/>
      <c r="E14" s="169"/>
      <c r="F14" s="169"/>
      <c r="G14" s="169"/>
      <c r="H14" s="169"/>
      <c r="I14" s="169"/>
      <c r="J14" s="169"/>
      <c r="K14" s="169"/>
      <c r="L14" s="169"/>
      <c r="M14" s="169"/>
      <c r="N14" s="169"/>
      <c r="O14" s="169"/>
      <c r="P14" s="169"/>
      <c r="Q14" s="169"/>
      <c r="R14" s="169"/>
      <c r="S14" s="169"/>
      <c r="T14" s="169"/>
      <c r="U14" s="169"/>
      <c r="V14" s="169"/>
      <c r="W14" s="169"/>
      <c r="X14" s="169"/>
      <c r="Y14" s="169"/>
      <c r="Z14" s="169"/>
    </row>
    <row r="15" spans="1:26" x14ac:dyDescent="0.25">
      <c r="A15" s="168"/>
      <c r="B15" s="168"/>
      <c r="C15" s="168"/>
      <c r="D15" s="168"/>
      <c r="E15" s="169"/>
      <c r="F15" s="169"/>
      <c r="G15" s="169"/>
      <c r="H15" s="169"/>
      <c r="I15" s="169"/>
      <c r="J15" s="169"/>
      <c r="K15" s="169"/>
      <c r="L15" s="169"/>
      <c r="M15" s="169"/>
      <c r="N15" s="169"/>
      <c r="O15" s="169"/>
      <c r="P15" s="169"/>
      <c r="Q15" s="169"/>
      <c r="R15" s="169"/>
      <c r="S15" s="169"/>
      <c r="T15" s="169"/>
      <c r="U15" s="169"/>
      <c r="V15" s="169"/>
      <c r="W15" s="169"/>
      <c r="X15" s="169"/>
      <c r="Y15" s="169"/>
      <c r="Z15" s="169"/>
    </row>
    <row r="16" spans="1:26" ht="102.75" customHeight="1" x14ac:dyDescent="0.25">
      <c r="A16" s="208" t="s">
        <v>206</v>
      </c>
      <c r="B16" s="208"/>
      <c r="C16" s="208"/>
      <c r="D16" s="208"/>
      <c r="E16" s="171"/>
      <c r="F16" s="171"/>
      <c r="G16" s="172"/>
      <c r="H16" s="172"/>
      <c r="I16" s="172"/>
      <c r="J16" s="172"/>
      <c r="K16" s="172"/>
      <c r="L16" s="172"/>
      <c r="M16" s="169"/>
      <c r="N16" s="169"/>
      <c r="O16" s="169"/>
      <c r="P16" s="169"/>
      <c r="Q16" s="169"/>
      <c r="R16" s="169"/>
      <c r="S16" s="169"/>
      <c r="T16" s="169"/>
      <c r="U16" s="169"/>
      <c r="V16" s="169"/>
      <c r="W16" s="169"/>
      <c r="X16" s="169"/>
      <c r="Y16" s="169"/>
      <c r="Z16" s="169"/>
    </row>
    <row r="17" spans="1:26" ht="17.25" customHeight="1" x14ac:dyDescent="0.25">
      <c r="A17" s="173"/>
      <c r="B17" s="173"/>
      <c r="C17" s="173"/>
      <c r="D17" s="173"/>
      <c r="E17" s="169"/>
      <c r="F17" s="169"/>
      <c r="G17" s="169"/>
      <c r="H17" s="169"/>
      <c r="I17" s="169"/>
      <c r="J17" s="169"/>
      <c r="K17" s="169"/>
      <c r="L17" s="169"/>
      <c r="M17" s="169"/>
      <c r="N17" s="169"/>
      <c r="O17" s="169"/>
      <c r="P17" s="169"/>
      <c r="Q17" s="169"/>
      <c r="R17" s="169"/>
      <c r="S17" s="169"/>
      <c r="T17" s="169"/>
      <c r="U17" s="169"/>
      <c r="V17" s="169"/>
      <c r="W17" s="169"/>
      <c r="X17" s="169"/>
      <c r="Y17" s="169"/>
      <c r="Z17" s="169"/>
    </row>
    <row r="18" spans="1:26" ht="17.25" customHeight="1" x14ac:dyDescent="0.25">
      <c r="A18" s="173"/>
      <c r="B18" s="173"/>
      <c r="C18" s="173"/>
      <c r="D18" s="173"/>
      <c r="E18" s="174"/>
      <c r="F18" s="174"/>
      <c r="G18" s="175"/>
      <c r="H18" s="175"/>
      <c r="I18" s="175"/>
      <c r="J18" s="175"/>
      <c r="K18" s="175"/>
      <c r="L18" s="175"/>
      <c r="M18" s="169"/>
      <c r="N18" s="169"/>
      <c r="O18" s="169"/>
      <c r="P18" s="169"/>
      <c r="Q18" s="169"/>
      <c r="R18" s="169"/>
      <c r="S18" s="169"/>
      <c r="T18" s="169"/>
      <c r="U18" s="169"/>
      <c r="V18" s="169"/>
      <c r="W18" s="169"/>
      <c r="X18" s="169"/>
      <c r="Y18" s="169"/>
      <c r="Z18" s="169"/>
    </row>
    <row r="19" spans="1:26" ht="17.25" customHeight="1" x14ac:dyDescent="0.25">
      <c r="A19" s="176" t="s">
        <v>0</v>
      </c>
      <c r="B19" s="207" t="s">
        <v>217</v>
      </c>
      <c r="C19" s="207"/>
      <c r="D19" s="207"/>
      <c r="E19" s="177"/>
      <c r="F19" s="177"/>
      <c r="G19" s="178"/>
      <c r="H19" s="178"/>
      <c r="I19" s="178"/>
      <c r="J19" s="178"/>
      <c r="K19" s="178"/>
      <c r="L19" s="178"/>
      <c r="M19" s="169"/>
      <c r="N19" s="169"/>
      <c r="O19" s="169"/>
      <c r="P19" s="169"/>
      <c r="Q19" s="169"/>
      <c r="R19" s="169"/>
      <c r="S19" s="169"/>
      <c r="T19" s="169"/>
      <c r="U19" s="169"/>
      <c r="V19" s="169"/>
      <c r="W19" s="169"/>
      <c r="X19" s="169"/>
      <c r="Y19" s="169"/>
      <c r="Z19" s="169"/>
    </row>
    <row r="20" spans="1:26" ht="17.25" customHeight="1" x14ac:dyDescent="0.25">
      <c r="A20" s="176" t="s">
        <v>207</v>
      </c>
      <c r="B20" s="207" t="s">
        <v>218</v>
      </c>
      <c r="C20" s="207"/>
      <c r="D20" s="207"/>
      <c r="E20" s="177"/>
      <c r="F20" s="177"/>
      <c r="G20" s="178"/>
      <c r="H20" s="178"/>
      <c r="I20" s="178"/>
      <c r="J20" s="178"/>
      <c r="K20" s="178"/>
      <c r="L20" s="178"/>
      <c r="M20" s="169"/>
      <c r="N20" s="169"/>
      <c r="O20" s="169"/>
      <c r="P20" s="169"/>
      <c r="Q20" s="169"/>
      <c r="R20" s="169"/>
      <c r="S20" s="169"/>
      <c r="T20" s="169"/>
      <c r="U20" s="169"/>
      <c r="V20" s="169"/>
      <c r="W20" s="169"/>
      <c r="X20" s="169"/>
      <c r="Y20" s="169"/>
      <c r="Z20" s="169"/>
    </row>
    <row r="21" spans="1:26" ht="17.25" customHeight="1" x14ac:dyDescent="0.25">
      <c r="A21" s="176" t="s">
        <v>208</v>
      </c>
      <c r="B21" s="179" t="s">
        <v>222</v>
      </c>
      <c r="C21" s="179"/>
      <c r="D21" s="179"/>
      <c r="E21" s="177"/>
      <c r="F21" s="177"/>
      <c r="G21" s="178"/>
      <c r="H21" s="178"/>
      <c r="I21" s="178"/>
      <c r="J21" s="178"/>
      <c r="K21" s="178"/>
      <c r="L21" s="178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</row>
    <row r="22" spans="1:26" ht="17.25" customHeight="1" x14ac:dyDescent="0.25">
      <c r="A22" s="176"/>
      <c r="B22" s="179"/>
      <c r="C22" s="179"/>
      <c r="D22" s="179"/>
      <c r="E22" s="177"/>
      <c r="F22" s="177"/>
      <c r="G22" s="178"/>
      <c r="H22" s="178"/>
      <c r="I22" s="178"/>
      <c r="J22" s="178"/>
      <c r="K22" s="178"/>
      <c r="L22" s="178"/>
      <c r="M22" s="169"/>
      <c r="N22" s="169"/>
      <c r="O22" s="169"/>
      <c r="P22" s="169"/>
      <c r="Q22" s="169"/>
      <c r="R22" s="169"/>
      <c r="S22" s="169"/>
      <c r="T22" s="169"/>
      <c r="U22" s="169"/>
      <c r="V22" s="169"/>
      <c r="W22" s="169"/>
      <c r="X22" s="169"/>
      <c r="Y22" s="169"/>
      <c r="Z22" s="169"/>
    </row>
    <row r="23" spans="1:26" ht="17.25" customHeight="1" x14ac:dyDescent="0.25">
      <c r="A23" s="176" t="s">
        <v>209</v>
      </c>
      <c r="B23" s="207" t="s">
        <v>219</v>
      </c>
      <c r="C23" s="207"/>
      <c r="D23" s="207"/>
      <c r="E23" s="169"/>
      <c r="F23" s="169"/>
      <c r="G23" s="169"/>
      <c r="H23" s="169"/>
      <c r="I23" s="169"/>
      <c r="J23" s="169"/>
      <c r="K23" s="169"/>
      <c r="L23" s="169"/>
      <c r="M23" s="169"/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</row>
    <row r="24" spans="1:26" ht="17.25" customHeight="1" x14ac:dyDescent="0.25">
      <c r="A24" s="176"/>
      <c r="B24" s="207" t="s">
        <v>220</v>
      </c>
      <c r="C24" s="207"/>
      <c r="D24" s="207"/>
      <c r="E24" s="169"/>
      <c r="F24" s="169"/>
      <c r="G24" s="169"/>
      <c r="H24" s="169"/>
      <c r="I24" s="169"/>
      <c r="J24" s="169"/>
      <c r="K24" s="169"/>
      <c r="L24" s="169"/>
      <c r="M24" s="169"/>
      <c r="N24" s="169"/>
      <c r="O24" s="169"/>
      <c r="P24" s="169"/>
      <c r="Q24" s="169"/>
      <c r="R24" s="169"/>
      <c r="S24" s="169"/>
      <c r="T24" s="169"/>
      <c r="U24" s="169"/>
      <c r="V24" s="169"/>
      <c r="W24" s="169"/>
      <c r="X24" s="169"/>
      <c r="Y24" s="169"/>
      <c r="Z24" s="169"/>
    </row>
    <row r="25" spans="1:26" ht="17.25" customHeight="1" x14ac:dyDescent="0.25">
      <c r="A25" s="176"/>
      <c r="B25" s="179"/>
      <c r="C25" s="179"/>
      <c r="D25" s="179"/>
      <c r="E25" s="169"/>
      <c r="F25" s="169"/>
      <c r="G25" s="169"/>
      <c r="H25" s="169"/>
      <c r="I25" s="169"/>
      <c r="J25" s="169"/>
      <c r="K25" s="169"/>
      <c r="L25" s="169"/>
      <c r="M25" s="169"/>
      <c r="N25" s="169"/>
      <c r="O25" s="169"/>
      <c r="P25" s="169"/>
      <c r="Q25" s="169"/>
      <c r="R25" s="169"/>
      <c r="S25" s="169"/>
      <c r="T25" s="169"/>
      <c r="U25" s="169"/>
      <c r="V25" s="169"/>
      <c r="W25" s="169"/>
      <c r="X25" s="169"/>
      <c r="Y25" s="169"/>
      <c r="Z25" s="169"/>
    </row>
    <row r="26" spans="1:26" ht="17.25" customHeight="1" x14ac:dyDescent="0.25">
      <c r="A26" s="176" t="s">
        <v>210</v>
      </c>
      <c r="B26" s="207" t="s">
        <v>219</v>
      </c>
      <c r="C26" s="207"/>
      <c r="D26" s="207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69"/>
      <c r="W26" s="169"/>
      <c r="X26" s="169"/>
      <c r="Y26" s="169"/>
      <c r="Z26" s="169"/>
    </row>
    <row r="27" spans="1:26" ht="17.25" customHeight="1" x14ac:dyDescent="0.25">
      <c r="A27" s="176"/>
      <c r="B27" s="207" t="s">
        <v>221</v>
      </c>
      <c r="C27" s="207"/>
      <c r="D27" s="207"/>
      <c r="E27" s="169"/>
      <c r="F27" s="169"/>
      <c r="G27" s="169"/>
      <c r="H27" s="169"/>
      <c r="I27" s="169"/>
      <c r="J27" s="169"/>
      <c r="K27" s="169"/>
      <c r="L27" s="169"/>
      <c r="M27" s="169"/>
      <c r="N27" s="169"/>
      <c r="O27" s="169"/>
      <c r="P27" s="169"/>
      <c r="Q27" s="169"/>
      <c r="R27" s="169"/>
      <c r="S27" s="169"/>
      <c r="T27" s="169"/>
      <c r="U27" s="169"/>
      <c r="V27" s="169"/>
      <c r="W27" s="169"/>
      <c r="X27" s="169"/>
      <c r="Y27" s="169"/>
      <c r="Z27" s="169"/>
    </row>
    <row r="28" spans="1:26" ht="17.25" customHeight="1" x14ac:dyDescent="0.25">
      <c r="A28" s="176"/>
      <c r="B28" s="179"/>
      <c r="C28" s="179"/>
      <c r="D28" s="17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69"/>
      <c r="W28" s="169"/>
      <c r="X28" s="169"/>
      <c r="Y28" s="169"/>
      <c r="Z28" s="169"/>
    </row>
    <row r="29" spans="1:26" ht="17.25" customHeight="1" x14ac:dyDescent="0.25">
      <c r="A29" s="176" t="s">
        <v>211</v>
      </c>
      <c r="B29" s="180">
        <v>1</v>
      </c>
      <c r="C29" s="179"/>
      <c r="D29" s="17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</row>
    <row r="30" spans="1:26" ht="17.25" customHeight="1" x14ac:dyDescent="0.25">
      <c r="A30" s="176" t="s">
        <v>212</v>
      </c>
      <c r="B30" s="209" t="s">
        <v>213</v>
      </c>
      <c r="C30" s="207"/>
      <c r="D30" s="207"/>
      <c r="E30" s="181"/>
      <c r="F30" s="181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</row>
    <row r="31" spans="1:26" ht="17.25" customHeight="1" x14ac:dyDescent="0.25">
      <c r="A31" s="176" t="s">
        <v>214</v>
      </c>
      <c r="B31" s="207" t="s">
        <v>215</v>
      </c>
      <c r="C31" s="207"/>
      <c r="D31" s="207"/>
      <c r="E31" s="181"/>
      <c r="F31" s="181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</row>
    <row r="32" spans="1:26" ht="17.25" customHeight="1" x14ac:dyDescent="0.25">
      <c r="A32" s="182"/>
      <c r="B32" s="183" t="s">
        <v>216</v>
      </c>
      <c r="C32" s="182"/>
      <c r="D32" s="182"/>
      <c r="E32" s="169"/>
      <c r="F32" s="169"/>
      <c r="G32" s="169"/>
      <c r="H32" s="169"/>
      <c r="I32" s="169"/>
      <c r="J32" s="169"/>
      <c r="K32" s="169"/>
      <c r="L32" s="169"/>
      <c r="M32" s="169"/>
      <c r="N32" s="169"/>
      <c r="O32" s="169"/>
      <c r="P32" s="169"/>
      <c r="Q32" s="169"/>
      <c r="R32" s="169"/>
      <c r="S32" s="169"/>
      <c r="T32" s="169"/>
      <c r="U32" s="169"/>
      <c r="V32" s="169"/>
      <c r="W32" s="169"/>
      <c r="X32" s="169"/>
      <c r="Y32" s="169"/>
      <c r="Z32" s="169"/>
    </row>
    <row r="33" spans="1:26" x14ac:dyDescent="0.25">
      <c r="A33" s="168"/>
      <c r="B33" s="168"/>
      <c r="C33" s="168"/>
      <c r="D33" s="168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</row>
    <row r="34" spans="1:26" x14ac:dyDescent="0.25">
      <c r="A34" s="168"/>
      <c r="B34" s="168"/>
      <c r="C34" s="168"/>
      <c r="D34" s="168"/>
      <c r="E34" s="169"/>
      <c r="F34" s="169"/>
      <c r="G34" s="169"/>
      <c r="H34" s="169"/>
      <c r="I34" s="169"/>
      <c r="J34" s="169"/>
      <c r="K34" s="169"/>
      <c r="L34" s="169"/>
      <c r="M34" s="169"/>
      <c r="N34" s="169"/>
      <c r="O34" s="169"/>
      <c r="P34" s="169"/>
      <c r="Q34" s="169"/>
      <c r="R34" s="169"/>
      <c r="S34" s="169"/>
      <c r="T34" s="169"/>
      <c r="U34" s="169"/>
      <c r="V34" s="169"/>
      <c r="W34" s="169"/>
      <c r="X34" s="169"/>
      <c r="Y34" s="169"/>
      <c r="Z34" s="169"/>
    </row>
    <row r="35" spans="1:26" x14ac:dyDescent="0.25">
      <c r="A35" s="168"/>
      <c r="B35" s="168"/>
      <c r="C35" s="168"/>
      <c r="D35" s="168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</row>
    <row r="36" spans="1:26" x14ac:dyDescent="0.25">
      <c r="A36" s="168"/>
      <c r="B36" s="168"/>
      <c r="C36" s="168"/>
      <c r="D36" s="168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</row>
    <row r="37" spans="1:26" x14ac:dyDescent="0.25">
      <c r="A37" s="168"/>
      <c r="B37" s="168"/>
      <c r="C37" s="168"/>
      <c r="D37" s="168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</row>
    <row r="38" spans="1:26" x14ac:dyDescent="0.25">
      <c r="A38" s="168"/>
      <c r="B38" s="168"/>
      <c r="C38" s="168"/>
      <c r="D38" s="168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</row>
    <row r="39" spans="1:26" x14ac:dyDescent="0.25">
      <c r="A39" s="168"/>
      <c r="B39" s="168"/>
      <c r="C39" s="168"/>
      <c r="D39" s="168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</row>
    <row r="40" spans="1:26" x14ac:dyDescent="0.25">
      <c r="A40" s="168"/>
      <c r="B40" s="168"/>
      <c r="C40" s="168"/>
      <c r="D40" s="168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</row>
    <row r="41" spans="1:26" x14ac:dyDescent="0.25">
      <c r="A41" s="168"/>
      <c r="B41" s="168"/>
      <c r="C41" s="168"/>
      <c r="D41" s="168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</row>
    <row r="42" spans="1:26" x14ac:dyDescent="0.25">
      <c r="A42" s="168"/>
      <c r="B42" s="168"/>
      <c r="C42" s="168"/>
      <c r="D42" s="168"/>
      <c r="E42" s="169"/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69"/>
      <c r="V42" s="169"/>
      <c r="W42" s="169"/>
      <c r="X42" s="169"/>
      <c r="Y42" s="169"/>
      <c r="Z42" s="169"/>
    </row>
    <row r="43" spans="1:26" x14ac:dyDescent="0.25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</row>
    <row r="44" spans="1:26" x14ac:dyDescent="0.25">
      <c r="A44" s="169"/>
      <c r="B44" s="169"/>
      <c r="C44" s="169"/>
      <c r="D44" s="169"/>
      <c r="E44" s="169"/>
      <c r="F44" s="169"/>
      <c r="G44" s="169"/>
      <c r="H44" s="169"/>
      <c r="I44" s="169"/>
      <c r="J44" s="169"/>
      <c r="K44" s="169"/>
      <c r="L44" s="169"/>
      <c r="M44" s="169"/>
      <c r="N44" s="169"/>
      <c r="O44" s="169"/>
      <c r="P44" s="169"/>
      <c r="Q44" s="169"/>
      <c r="R44" s="169"/>
      <c r="S44" s="169"/>
      <c r="T44" s="169"/>
      <c r="U44" s="169"/>
      <c r="V44" s="169"/>
      <c r="W44" s="169"/>
      <c r="X44" s="169"/>
      <c r="Y44" s="169"/>
      <c r="Z44" s="169"/>
    </row>
    <row r="45" spans="1:26" x14ac:dyDescent="0.25">
      <c r="A45" s="169"/>
      <c r="B45" s="169"/>
      <c r="C45" s="169"/>
      <c r="D45" s="169"/>
      <c r="E45" s="169"/>
      <c r="F45" s="169"/>
      <c r="G45" s="169"/>
      <c r="H45" s="169"/>
      <c r="I45" s="169"/>
      <c r="J45" s="169"/>
      <c r="K45" s="169"/>
      <c r="L45" s="169"/>
      <c r="M45" s="169"/>
      <c r="N45" s="169"/>
      <c r="O45" s="169"/>
      <c r="P45" s="169"/>
      <c r="Q45" s="169"/>
      <c r="R45" s="169"/>
      <c r="S45" s="169"/>
      <c r="T45" s="169"/>
      <c r="U45" s="169"/>
      <c r="V45" s="169"/>
      <c r="W45" s="169"/>
      <c r="X45" s="169"/>
      <c r="Y45" s="169"/>
      <c r="Z45" s="169"/>
    </row>
    <row r="46" spans="1:26" x14ac:dyDescent="0.25">
      <c r="A46" s="169"/>
      <c r="B46" s="169"/>
      <c r="C46" s="169"/>
      <c r="D46" s="169"/>
      <c r="E46" s="169"/>
      <c r="F46" s="169"/>
      <c r="G46" s="169"/>
      <c r="H46" s="169"/>
      <c r="I46" s="169"/>
      <c r="J46" s="169"/>
      <c r="K46" s="169"/>
      <c r="L46" s="169"/>
      <c r="M46" s="169"/>
      <c r="N46" s="169"/>
      <c r="O46" s="169"/>
      <c r="P46" s="169"/>
      <c r="Q46" s="169"/>
      <c r="R46" s="169"/>
      <c r="S46" s="169"/>
      <c r="T46" s="169"/>
      <c r="U46" s="169"/>
      <c r="V46" s="169"/>
      <c r="W46" s="169"/>
      <c r="X46" s="169"/>
      <c r="Y46" s="169"/>
      <c r="Z46" s="169"/>
    </row>
    <row r="47" spans="1:26" x14ac:dyDescent="0.25">
      <c r="A47" s="169"/>
      <c r="B47" s="169"/>
      <c r="C47" s="169"/>
      <c r="D47" s="169"/>
      <c r="E47" s="169"/>
      <c r="F47" s="169"/>
      <c r="G47" s="169"/>
      <c r="H47" s="169"/>
      <c r="I47" s="169"/>
      <c r="J47" s="169"/>
      <c r="K47" s="169"/>
      <c r="L47" s="169"/>
      <c r="M47" s="169"/>
      <c r="N47" s="169"/>
      <c r="O47" s="169"/>
      <c r="P47" s="169"/>
      <c r="Q47" s="169"/>
      <c r="R47" s="169"/>
      <c r="S47" s="169"/>
      <c r="T47" s="169"/>
      <c r="U47" s="169"/>
      <c r="V47" s="169"/>
      <c r="W47" s="169"/>
      <c r="X47" s="169"/>
      <c r="Y47" s="169"/>
      <c r="Z47" s="169"/>
    </row>
    <row r="48" spans="1:26" x14ac:dyDescent="0.25">
      <c r="A48" s="169"/>
      <c r="B48" s="169"/>
      <c r="C48" s="169"/>
      <c r="D48" s="169"/>
      <c r="E48" s="169"/>
      <c r="F48" s="169"/>
      <c r="G48" s="169"/>
      <c r="H48" s="169"/>
      <c r="I48" s="169"/>
      <c r="J48" s="169"/>
      <c r="K48" s="169"/>
      <c r="L48" s="169"/>
      <c r="M48" s="169"/>
      <c r="N48" s="169"/>
      <c r="O48" s="169"/>
      <c r="P48" s="169"/>
      <c r="Q48" s="169"/>
      <c r="R48" s="169"/>
      <c r="S48" s="169"/>
      <c r="T48" s="169"/>
      <c r="U48" s="169"/>
      <c r="V48" s="169"/>
      <c r="W48" s="169"/>
      <c r="X48" s="169"/>
      <c r="Y48" s="169"/>
      <c r="Z48" s="169"/>
    </row>
    <row r="49" spans="1:26" x14ac:dyDescent="0.25">
      <c r="A49" s="169"/>
      <c r="B49" s="169"/>
      <c r="C49" s="169"/>
      <c r="D49" s="169"/>
      <c r="E49" s="169"/>
      <c r="F49" s="169"/>
      <c r="G49" s="169"/>
      <c r="H49" s="169"/>
      <c r="I49" s="169"/>
      <c r="J49" s="169"/>
      <c r="K49" s="169"/>
      <c r="L49" s="169"/>
      <c r="M49" s="169"/>
      <c r="N49" s="169"/>
      <c r="O49" s="169"/>
      <c r="P49" s="169"/>
      <c r="Q49" s="169"/>
      <c r="R49" s="169"/>
      <c r="S49" s="169"/>
      <c r="T49" s="169"/>
      <c r="U49" s="169"/>
      <c r="V49" s="169"/>
      <c r="W49" s="169"/>
      <c r="X49" s="169"/>
      <c r="Y49" s="169"/>
      <c r="Z49" s="169"/>
    </row>
    <row r="50" spans="1:26" x14ac:dyDescent="0.25">
      <c r="A50" s="169"/>
      <c r="B50" s="169"/>
      <c r="C50" s="169"/>
      <c r="D50" s="169"/>
      <c r="E50" s="169"/>
      <c r="F50" s="169"/>
      <c r="G50" s="169"/>
      <c r="H50" s="169"/>
      <c r="I50" s="169"/>
      <c r="J50" s="169"/>
      <c r="K50" s="169"/>
      <c r="L50" s="169"/>
      <c r="M50" s="169"/>
      <c r="N50" s="169"/>
      <c r="O50" s="169"/>
      <c r="P50" s="169"/>
      <c r="Q50" s="169"/>
      <c r="R50" s="169"/>
      <c r="S50" s="169"/>
      <c r="T50" s="169"/>
      <c r="U50" s="169"/>
      <c r="V50" s="169"/>
      <c r="W50" s="169"/>
      <c r="X50" s="169"/>
      <c r="Y50" s="169"/>
      <c r="Z50" s="169"/>
    </row>
    <row r="51" spans="1:26" x14ac:dyDescent="0.25">
      <c r="A51" s="169"/>
      <c r="B51" s="169"/>
      <c r="C51" s="169"/>
      <c r="D51" s="169"/>
      <c r="E51" s="169"/>
      <c r="F51" s="169"/>
      <c r="G51" s="169"/>
      <c r="H51" s="169"/>
      <c r="I51" s="169"/>
      <c r="J51" s="169"/>
      <c r="K51" s="169"/>
      <c r="L51" s="169"/>
      <c r="M51" s="169"/>
      <c r="N51" s="169"/>
      <c r="O51" s="169"/>
      <c r="P51" s="169"/>
      <c r="Q51" s="169"/>
      <c r="R51" s="169"/>
      <c r="S51" s="169"/>
      <c r="T51" s="169"/>
      <c r="U51" s="169"/>
      <c r="V51" s="169"/>
      <c r="W51" s="169"/>
      <c r="X51" s="169"/>
      <c r="Y51" s="169"/>
      <c r="Z51" s="169"/>
    </row>
    <row r="52" spans="1:26" x14ac:dyDescent="0.25">
      <c r="A52" s="169"/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69"/>
      <c r="O52" s="169"/>
      <c r="P52" s="169"/>
      <c r="Q52" s="169"/>
      <c r="R52" s="169"/>
      <c r="S52" s="169"/>
      <c r="T52" s="169"/>
      <c r="U52" s="169"/>
      <c r="V52" s="169"/>
      <c r="W52" s="169"/>
      <c r="X52" s="169"/>
      <c r="Y52" s="169"/>
      <c r="Z52" s="169"/>
    </row>
    <row r="53" spans="1:26" x14ac:dyDescent="0.25">
      <c r="A53" s="169"/>
      <c r="B53" s="169"/>
      <c r="C53" s="169"/>
      <c r="D53" s="169"/>
      <c r="E53" s="169"/>
      <c r="F53" s="169"/>
      <c r="G53" s="169"/>
      <c r="H53" s="169"/>
      <c r="I53" s="169"/>
      <c r="J53" s="169"/>
      <c r="K53" s="169"/>
      <c r="L53" s="169"/>
      <c r="M53" s="169"/>
      <c r="N53" s="169"/>
      <c r="O53" s="169"/>
      <c r="P53" s="169"/>
      <c r="Q53" s="169"/>
      <c r="R53" s="169"/>
      <c r="S53" s="169"/>
      <c r="T53" s="169"/>
      <c r="U53" s="169"/>
      <c r="V53" s="169"/>
      <c r="W53" s="169"/>
      <c r="X53" s="169"/>
      <c r="Y53" s="169"/>
      <c r="Z53" s="169"/>
    </row>
    <row r="54" spans="1:26" x14ac:dyDescent="0.25">
      <c r="A54" s="169"/>
      <c r="B54" s="169"/>
      <c r="C54" s="169"/>
      <c r="D54" s="169"/>
      <c r="E54" s="169"/>
      <c r="F54" s="169"/>
      <c r="G54" s="169"/>
      <c r="H54" s="169"/>
      <c r="I54" s="169"/>
      <c r="J54" s="169"/>
      <c r="K54" s="169"/>
      <c r="L54" s="169"/>
      <c r="M54" s="169"/>
      <c r="N54" s="169"/>
      <c r="O54" s="169"/>
      <c r="P54" s="169"/>
      <c r="Q54" s="169"/>
      <c r="R54" s="169"/>
      <c r="S54" s="169"/>
      <c r="T54" s="169"/>
      <c r="U54" s="169"/>
      <c r="V54" s="169"/>
      <c r="W54" s="169"/>
      <c r="X54" s="169"/>
      <c r="Y54" s="169"/>
      <c r="Z54" s="169"/>
    </row>
    <row r="55" spans="1:26" x14ac:dyDescent="0.25">
      <c r="A55" s="169"/>
      <c r="B55" s="169"/>
      <c r="C55" s="169"/>
      <c r="D55" s="169"/>
      <c r="E55" s="169"/>
      <c r="F55" s="169"/>
      <c r="G55" s="169"/>
      <c r="H55" s="169"/>
      <c r="I55" s="169"/>
      <c r="J55" s="169"/>
      <c r="K55" s="169"/>
      <c r="L55" s="169"/>
      <c r="M55" s="169"/>
      <c r="N55" s="169"/>
      <c r="O55" s="169"/>
      <c r="P55" s="169"/>
      <c r="Q55" s="169"/>
      <c r="R55" s="169"/>
      <c r="S55" s="169"/>
      <c r="T55" s="169"/>
      <c r="U55" s="169"/>
      <c r="V55" s="169"/>
      <c r="W55" s="169"/>
      <c r="X55" s="169"/>
      <c r="Y55" s="169"/>
      <c r="Z55" s="169"/>
    </row>
    <row r="56" spans="1:26" x14ac:dyDescent="0.25">
      <c r="A56" s="169"/>
      <c r="B56" s="169"/>
      <c r="C56" s="169"/>
      <c r="D56" s="169"/>
      <c r="E56" s="169"/>
      <c r="F56" s="169"/>
      <c r="G56" s="169"/>
      <c r="H56" s="169"/>
      <c r="I56" s="169"/>
      <c r="J56" s="169"/>
      <c r="K56" s="169"/>
      <c r="L56" s="169"/>
      <c r="M56" s="169"/>
      <c r="N56" s="169"/>
      <c r="O56" s="169"/>
      <c r="P56" s="169"/>
      <c r="Q56" s="169"/>
      <c r="R56" s="169"/>
      <c r="S56" s="169"/>
      <c r="T56" s="169"/>
      <c r="U56" s="169"/>
      <c r="V56" s="169"/>
      <c r="W56" s="169"/>
      <c r="X56" s="169"/>
      <c r="Y56" s="169"/>
      <c r="Z56" s="169"/>
    </row>
    <row r="57" spans="1:26" x14ac:dyDescent="0.25">
      <c r="A57" s="169"/>
      <c r="B57" s="169"/>
      <c r="C57" s="169"/>
      <c r="D57" s="169"/>
      <c r="E57" s="169"/>
      <c r="F57" s="169"/>
      <c r="G57" s="169"/>
      <c r="H57" s="169"/>
      <c r="I57" s="169"/>
      <c r="J57" s="169"/>
      <c r="K57" s="169"/>
      <c r="L57" s="169"/>
      <c r="M57" s="169"/>
      <c r="N57" s="169"/>
      <c r="O57" s="169"/>
      <c r="P57" s="169"/>
      <c r="Q57" s="169"/>
      <c r="R57" s="169"/>
      <c r="S57" s="169"/>
      <c r="T57" s="169"/>
      <c r="U57" s="169"/>
      <c r="V57" s="169"/>
      <c r="W57" s="169"/>
      <c r="X57" s="169"/>
      <c r="Y57" s="169"/>
      <c r="Z57" s="169"/>
    </row>
    <row r="58" spans="1:26" x14ac:dyDescent="0.25">
      <c r="A58" s="169"/>
      <c r="B58" s="169"/>
      <c r="C58" s="169"/>
      <c r="D58" s="169"/>
      <c r="E58" s="169"/>
      <c r="F58" s="169"/>
      <c r="G58" s="169"/>
      <c r="H58" s="169"/>
      <c r="I58" s="169"/>
      <c r="J58" s="169"/>
      <c r="K58" s="169"/>
      <c r="L58" s="169"/>
      <c r="M58" s="169"/>
      <c r="N58" s="169"/>
      <c r="O58" s="169"/>
      <c r="P58" s="169"/>
      <c r="Q58" s="169"/>
      <c r="R58" s="169"/>
      <c r="S58" s="169"/>
      <c r="T58" s="169"/>
      <c r="U58" s="169"/>
      <c r="V58" s="169"/>
      <c r="W58" s="169"/>
      <c r="X58" s="169"/>
      <c r="Y58" s="169"/>
      <c r="Z58" s="169"/>
    </row>
    <row r="59" spans="1:26" x14ac:dyDescent="0.25">
      <c r="A59" s="169"/>
      <c r="B59" s="169"/>
      <c r="C59" s="169"/>
      <c r="D59" s="169"/>
      <c r="E59" s="169"/>
      <c r="F59" s="169"/>
      <c r="G59" s="169"/>
      <c r="H59" s="169"/>
      <c r="I59" s="169"/>
      <c r="J59" s="169"/>
      <c r="K59" s="169"/>
      <c r="L59" s="169"/>
      <c r="M59" s="169"/>
      <c r="N59" s="169"/>
      <c r="O59" s="169"/>
      <c r="P59" s="169"/>
      <c r="Q59" s="169"/>
      <c r="R59" s="169"/>
      <c r="S59" s="169"/>
      <c r="T59" s="169"/>
      <c r="U59" s="169"/>
      <c r="V59" s="169"/>
      <c r="W59" s="169"/>
      <c r="X59" s="169"/>
      <c r="Y59" s="169"/>
      <c r="Z59" s="169"/>
    </row>
    <row r="60" spans="1:26" x14ac:dyDescent="0.25">
      <c r="A60" s="169"/>
      <c r="B60" s="169"/>
      <c r="C60" s="169"/>
      <c r="D60" s="169"/>
      <c r="E60" s="169"/>
      <c r="F60" s="169"/>
      <c r="G60" s="169"/>
      <c r="H60" s="169"/>
      <c r="I60" s="169"/>
      <c r="J60" s="169"/>
      <c r="K60" s="169"/>
      <c r="L60" s="169"/>
      <c r="M60" s="169"/>
      <c r="N60" s="169"/>
      <c r="O60" s="169"/>
      <c r="P60" s="169"/>
      <c r="Q60" s="169"/>
      <c r="R60" s="169"/>
      <c r="S60" s="169"/>
      <c r="T60" s="169"/>
      <c r="U60" s="169"/>
      <c r="V60" s="169"/>
      <c r="W60" s="169"/>
      <c r="X60" s="169"/>
      <c r="Y60" s="169"/>
      <c r="Z60" s="169"/>
    </row>
    <row r="61" spans="1:26" x14ac:dyDescent="0.25">
      <c r="A61" s="169"/>
      <c r="B61" s="169"/>
      <c r="C61" s="169"/>
      <c r="D61" s="169"/>
      <c r="E61" s="169"/>
      <c r="F61" s="169"/>
      <c r="G61" s="169"/>
      <c r="H61" s="169"/>
      <c r="I61" s="169"/>
      <c r="J61" s="169"/>
      <c r="K61" s="169"/>
      <c r="L61" s="169"/>
      <c r="M61" s="169"/>
      <c r="N61" s="169"/>
      <c r="O61" s="169"/>
      <c r="P61" s="169"/>
      <c r="Q61" s="169"/>
      <c r="R61" s="169"/>
      <c r="S61" s="169"/>
      <c r="T61" s="169"/>
      <c r="U61" s="169"/>
      <c r="V61" s="169"/>
      <c r="W61" s="169"/>
      <c r="X61" s="169"/>
      <c r="Y61" s="169"/>
      <c r="Z61" s="169"/>
    </row>
    <row r="62" spans="1:26" x14ac:dyDescent="0.25">
      <c r="A62" s="169"/>
      <c r="B62" s="169"/>
      <c r="C62" s="169"/>
      <c r="D62" s="169"/>
      <c r="E62" s="169"/>
      <c r="F62" s="169"/>
      <c r="G62" s="169"/>
      <c r="H62" s="169"/>
      <c r="I62" s="169"/>
      <c r="J62" s="169"/>
      <c r="K62" s="169"/>
      <c r="L62" s="169"/>
      <c r="M62" s="169"/>
      <c r="N62" s="169"/>
      <c r="O62" s="169"/>
      <c r="P62" s="169"/>
      <c r="Q62" s="169"/>
      <c r="R62" s="169"/>
      <c r="S62" s="169"/>
      <c r="T62" s="169"/>
      <c r="U62" s="169"/>
      <c r="V62" s="169"/>
      <c r="W62" s="169"/>
      <c r="X62" s="169"/>
      <c r="Y62" s="169"/>
      <c r="Z62" s="169"/>
    </row>
    <row r="63" spans="1:26" x14ac:dyDescent="0.25">
      <c r="A63" s="169"/>
      <c r="B63" s="169"/>
      <c r="C63" s="169"/>
      <c r="D63" s="169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  <c r="Y63" s="169"/>
      <c r="Z63" s="169"/>
    </row>
    <row r="64" spans="1:26" x14ac:dyDescent="0.25">
      <c r="A64" s="169"/>
      <c r="B64" s="169"/>
      <c r="C64" s="169"/>
      <c r="D64" s="169"/>
      <c r="E64" s="169"/>
      <c r="F64" s="169"/>
      <c r="G64" s="169"/>
      <c r="H64" s="169"/>
      <c r="I64" s="169"/>
      <c r="J64" s="169"/>
      <c r="K64" s="169"/>
      <c r="L64" s="169"/>
      <c r="M64" s="169"/>
      <c r="N64" s="169"/>
      <c r="O64" s="169"/>
      <c r="P64" s="169"/>
      <c r="Q64" s="169"/>
      <c r="R64" s="169"/>
      <c r="S64" s="169"/>
      <c r="T64" s="169"/>
      <c r="U64" s="169"/>
      <c r="V64" s="169"/>
      <c r="W64" s="169"/>
      <c r="X64" s="169"/>
      <c r="Y64" s="169"/>
      <c r="Z64" s="169"/>
    </row>
    <row r="65" spans="1:26" x14ac:dyDescent="0.25">
      <c r="A65" s="169"/>
      <c r="B65" s="169"/>
      <c r="C65" s="169"/>
      <c r="D65" s="169"/>
      <c r="E65" s="169"/>
      <c r="F65" s="169"/>
      <c r="G65" s="169"/>
      <c r="H65" s="169"/>
      <c r="I65" s="169"/>
      <c r="J65" s="169"/>
      <c r="K65" s="169"/>
      <c r="L65" s="169"/>
      <c r="M65" s="169"/>
      <c r="N65" s="169"/>
      <c r="O65" s="169"/>
      <c r="P65" s="169"/>
      <c r="Q65" s="169"/>
      <c r="R65" s="169"/>
      <c r="S65" s="169"/>
      <c r="T65" s="169"/>
      <c r="U65" s="169"/>
      <c r="V65" s="169"/>
      <c r="W65" s="169"/>
      <c r="X65" s="169"/>
      <c r="Y65" s="169"/>
      <c r="Z65" s="169"/>
    </row>
    <row r="66" spans="1:26" x14ac:dyDescent="0.25">
      <c r="A66" s="169"/>
      <c r="B66" s="169"/>
      <c r="C66" s="169"/>
      <c r="D66" s="169"/>
      <c r="E66" s="169"/>
      <c r="F66" s="169"/>
      <c r="G66" s="169"/>
      <c r="H66" s="169"/>
      <c r="I66" s="169"/>
      <c r="J66" s="169"/>
      <c r="K66" s="169"/>
      <c r="L66" s="169"/>
      <c r="M66" s="169"/>
      <c r="N66" s="169"/>
      <c r="O66" s="169"/>
      <c r="P66" s="169"/>
      <c r="Q66" s="169"/>
      <c r="R66" s="169"/>
      <c r="S66" s="169"/>
      <c r="T66" s="169"/>
      <c r="U66" s="169"/>
      <c r="V66" s="169"/>
      <c r="W66" s="169"/>
      <c r="X66" s="169"/>
      <c r="Y66" s="169"/>
      <c r="Z66" s="169"/>
    </row>
    <row r="67" spans="1:26" x14ac:dyDescent="0.25">
      <c r="A67" s="169"/>
      <c r="B67" s="169"/>
      <c r="C67" s="169"/>
      <c r="D67" s="169"/>
      <c r="E67" s="169"/>
      <c r="F67" s="169"/>
      <c r="G67" s="169"/>
      <c r="H67" s="169"/>
      <c r="I67" s="169"/>
      <c r="J67" s="169"/>
      <c r="K67" s="169"/>
      <c r="L67" s="169"/>
      <c r="M67" s="169"/>
      <c r="N67" s="169"/>
      <c r="O67" s="169"/>
      <c r="P67" s="169"/>
      <c r="Q67" s="169"/>
      <c r="R67" s="169"/>
      <c r="S67" s="169"/>
      <c r="T67" s="169"/>
      <c r="U67" s="169"/>
      <c r="V67" s="169"/>
      <c r="W67" s="169"/>
      <c r="X67" s="169"/>
      <c r="Y67" s="169"/>
      <c r="Z67" s="169"/>
    </row>
    <row r="68" spans="1:26" x14ac:dyDescent="0.25">
      <c r="A68" s="169"/>
      <c r="B68" s="169"/>
      <c r="C68" s="169"/>
      <c r="D68" s="169"/>
      <c r="E68" s="169"/>
      <c r="F68" s="169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</row>
    <row r="69" spans="1:26" x14ac:dyDescent="0.25">
      <c r="A69" s="169"/>
      <c r="B69" s="169"/>
      <c r="C69" s="169"/>
      <c r="D69" s="169"/>
      <c r="E69" s="169"/>
      <c r="F69" s="169"/>
      <c r="G69" s="169"/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</row>
    <row r="70" spans="1:26" x14ac:dyDescent="0.25">
      <c r="A70" s="169"/>
      <c r="B70" s="169"/>
      <c r="C70" s="169"/>
      <c r="D70" s="169"/>
      <c r="E70" s="169"/>
      <c r="F70" s="169"/>
      <c r="G70" s="169"/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</row>
    <row r="71" spans="1:26" x14ac:dyDescent="0.25">
      <c r="A71" s="169"/>
      <c r="B71" s="169"/>
      <c r="C71" s="169"/>
      <c r="D71" s="169"/>
      <c r="E71" s="169"/>
      <c r="F71" s="169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</row>
    <row r="72" spans="1:26" x14ac:dyDescent="0.25">
      <c r="A72" s="169"/>
      <c r="B72" s="169"/>
      <c r="C72" s="169"/>
      <c r="D72" s="169"/>
      <c r="E72" s="169"/>
      <c r="F72" s="169"/>
      <c r="G72" s="169"/>
      <c r="H72" s="169"/>
      <c r="I72" s="169"/>
      <c r="J72" s="169"/>
      <c r="K72" s="169"/>
      <c r="L72" s="169"/>
      <c r="M72" s="169"/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</row>
    <row r="73" spans="1:26" x14ac:dyDescent="0.25">
      <c r="A73" s="169"/>
      <c r="B73" s="169"/>
      <c r="C73" s="169"/>
      <c r="D73" s="169"/>
      <c r="E73" s="169"/>
      <c r="F73" s="169"/>
      <c r="G73" s="169"/>
      <c r="H73" s="169"/>
      <c r="I73" s="169"/>
      <c r="J73" s="169"/>
      <c r="K73" s="169"/>
      <c r="L73" s="169"/>
      <c r="M73" s="169"/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</row>
    <row r="74" spans="1:26" x14ac:dyDescent="0.25">
      <c r="A74" s="169"/>
      <c r="B74" s="169"/>
      <c r="C74" s="169"/>
      <c r="D74" s="169"/>
      <c r="E74" s="169"/>
      <c r="F74" s="169"/>
      <c r="G74" s="169"/>
      <c r="H74" s="169"/>
      <c r="I74" s="169"/>
      <c r="J74" s="169"/>
      <c r="K74" s="169"/>
      <c r="L74" s="169"/>
      <c r="M74" s="169"/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</row>
    <row r="75" spans="1:26" x14ac:dyDescent="0.25">
      <c r="A75" s="169"/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</row>
    <row r="76" spans="1:26" x14ac:dyDescent="0.25">
      <c r="A76" s="169"/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</row>
    <row r="77" spans="1:26" x14ac:dyDescent="0.25">
      <c r="A77" s="169"/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</row>
    <row r="78" spans="1:26" x14ac:dyDescent="0.25">
      <c r="A78" s="169"/>
      <c r="B78" s="169"/>
      <c r="C78" s="169"/>
      <c r="D78" s="169"/>
      <c r="E78" s="169"/>
      <c r="F78" s="169"/>
      <c r="G78" s="169"/>
      <c r="H78" s="169"/>
      <c r="I78" s="169"/>
      <c r="J78" s="169"/>
      <c r="K78" s="169"/>
      <c r="L78" s="169"/>
      <c r="M78" s="169"/>
      <c r="N78" s="169"/>
      <c r="O78" s="169"/>
      <c r="P78" s="169"/>
      <c r="Q78" s="169"/>
      <c r="R78" s="169"/>
      <c r="S78" s="169"/>
      <c r="T78" s="169"/>
      <c r="U78" s="169"/>
      <c r="V78" s="169"/>
      <c r="W78" s="169"/>
      <c r="X78" s="169"/>
      <c r="Y78" s="169"/>
      <c r="Z78" s="169"/>
    </row>
    <row r="79" spans="1:26" x14ac:dyDescent="0.25">
      <c r="A79" s="169"/>
      <c r="B79" s="169"/>
      <c r="C79" s="169"/>
      <c r="D79" s="169"/>
      <c r="E79" s="169"/>
      <c r="F79" s="169"/>
      <c r="G79" s="169"/>
      <c r="H79" s="169"/>
      <c r="I79" s="169"/>
      <c r="J79" s="169"/>
      <c r="K79" s="169"/>
      <c r="L79" s="169"/>
      <c r="M79" s="169"/>
      <c r="N79" s="169"/>
      <c r="O79" s="169"/>
      <c r="P79" s="169"/>
      <c r="Q79" s="169"/>
      <c r="R79" s="169"/>
      <c r="S79" s="169"/>
      <c r="T79" s="169"/>
      <c r="U79" s="169"/>
      <c r="V79" s="169"/>
      <c r="W79" s="169"/>
      <c r="X79" s="169"/>
      <c r="Y79" s="169"/>
      <c r="Z79" s="169"/>
    </row>
    <row r="80" spans="1:26" x14ac:dyDescent="0.25">
      <c r="A80" s="169"/>
      <c r="B80" s="169"/>
      <c r="C80" s="169"/>
      <c r="D80" s="169"/>
      <c r="E80" s="169"/>
      <c r="F80" s="169"/>
      <c r="G80" s="169"/>
      <c r="H80" s="169"/>
      <c r="I80" s="169"/>
      <c r="J80" s="169"/>
      <c r="K80" s="169"/>
      <c r="L80" s="169"/>
      <c r="M80" s="169"/>
      <c r="N80" s="169"/>
      <c r="O80" s="169"/>
      <c r="P80" s="169"/>
      <c r="Q80" s="169"/>
      <c r="R80" s="169"/>
      <c r="S80" s="169"/>
      <c r="T80" s="169"/>
      <c r="U80" s="169"/>
      <c r="V80" s="169"/>
      <c r="W80" s="169"/>
      <c r="X80" s="169"/>
      <c r="Y80" s="169"/>
      <c r="Z80" s="169"/>
    </row>
    <row r="81" spans="1:26" x14ac:dyDescent="0.25">
      <c r="A81" s="169"/>
      <c r="B81" s="169"/>
      <c r="C81" s="169"/>
      <c r="D81" s="169"/>
      <c r="E81" s="169"/>
      <c r="F81" s="169"/>
      <c r="G81" s="169"/>
      <c r="H81" s="169"/>
      <c r="I81" s="169"/>
      <c r="J81" s="169"/>
      <c r="K81" s="169"/>
      <c r="L81" s="169"/>
      <c r="M81" s="169"/>
      <c r="N81" s="169"/>
      <c r="O81" s="169"/>
      <c r="P81" s="169"/>
      <c r="Q81" s="169"/>
      <c r="R81" s="169"/>
      <c r="S81" s="169"/>
      <c r="T81" s="169"/>
      <c r="U81" s="169"/>
      <c r="V81" s="169"/>
      <c r="W81" s="169"/>
      <c r="X81" s="169"/>
      <c r="Y81" s="169"/>
      <c r="Z81" s="169"/>
    </row>
    <row r="82" spans="1:26" x14ac:dyDescent="0.25">
      <c r="A82" s="169"/>
      <c r="B82" s="169"/>
      <c r="C82" s="169"/>
      <c r="D82" s="169"/>
      <c r="E82" s="169"/>
      <c r="F82" s="169"/>
      <c r="G82" s="169"/>
      <c r="H82" s="169"/>
      <c r="I82" s="169"/>
      <c r="J82" s="169"/>
      <c r="K82" s="169"/>
      <c r="L82" s="169"/>
      <c r="M82" s="169"/>
      <c r="N82" s="169"/>
      <c r="O82" s="169"/>
      <c r="P82" s="169"/>
      <c r="Q82" s="169"/>
      <c r="R82" s="169"/>
      <c r="S82" s="169"/>
      <c r="T82" s="169"/>
      <c r="U82" s="169"/>
      <c r="V82" s="169"/>
      <c r="W82" s="169"/>
      <c r="X82" s="169"/>
      <c r="Y82" s="169"/>
      <c r="Z82" s="169"/>
    </row>
    <row r="83" spans="1:26" x14ac:dyDescent="0.25">
      <c r="A83" s="169"/>
      <c r="B83" s="169"/>
      <c r="C83" s="169"/>
      <c r="D83" s="169"/>
      <c r="E83" s="169"/>
      <c r="F83" s="169"/>
      <c r="G83" s="169"/>
      <c r="H83" s="169"/>
      <c r="I83" s="169"/>
      <c r="J83" s="169"/>
      <c r="K83" s="169"/>
      <c r="L83" s="169"/>
      <c r="M83" s="169"/>
      <c r="N83" s="169"/>
      <c r="O83" s="169"/>
      <c r="P83" s="169"/>
      <c r="Q83" s="169"/>
      <c r="R83" s="169"/>
      <c r="S83" s="169"/>
      <c r="T83" s="169"/>
      <c r="U83" s="169"/>
      <c r="V83" s="169"/>
      <c r="W83" s="169"/>
      <c r="X83" s="169"/>
      <c r="Y83" s="169"/>
      <c r="Z83" s="169"/>
    </row>
    <row r="84" spans="1:26" x14ac:dyDescent="0.25">
      <c r="A84" s="169"/>
      <c r="B84" s="169"/>
      <c r="C84" s="169"/>
      <c r="D84" s="169"/>
      <c r="E84" s="169"/>
      <c r="F84" s="169"/>
      <c r="G84" s="169"/>
      <c r="H84" s="169"/>
      <c r="I84" s="169"/>
      <c r="J84" s="169"/>
      <c r="K84" s="169"/>
      <c r="L84" s="169"/>
      <c r="M84" s="169"/>
      <c r="N84" s="169"/>
      <c r="O84" s="169"/>
      <c r="P84" s="169"/>
      <c r="Q84" s="169"/>
      <c r="R84" s="169"/>
      <c r="S84" s="169"/>
      <c r="T84" s="169"/>
      <c r="U84" s="169"/>
      <c r="V84" s="169"/>
      <c r="W84" s="169"/>
      <c r="X84" s="169"/>
      <c r="Y84" s="169"/>
      <c r="Z84" s="169"/>
    </row>
    <row r="85" spans="1:26" x14ac:dyDescent="0.25">
      <c r="A85" s="169"/>
      <c r="B85" s="169"/>
      <c r="C85" s="169"/>
      <c r="D85" s="169"/>
      <c r="E85" s="169"/>
      <c r="F85" s="169"/>
      <c r="G85" s="169"/>
      <c r="H85" s="169"/>
      <c r="I85" s="169"/>
      <c r="J85" s="169"/>
      <c r="K85" s="169"/>
      <c r="L85" s="169"/>
      <c r="M85" s="169"/>
      <c r="N85" s="169"/>
      <c r="O85" s="169"/>
      <c r="P85" s="169"/>
      <c r="Q85" s="169"/>
      <c r="R85" s="169"/>
      <c r="S85" s="169"/>
      <c r="T85" s="169"/>
      <c r="U85" s="169"/>
      <c r="V85" s="169"/>
      <c r="W85" s="169"/>
      <c r="X85" s="169"/>
      <c r="Y85" s="169"/>
      <c r="Z85" s="169"/>
    </row>
    <row r="86" spans="1:26" x14ac:dyDescent="0.25">
      <c r="A86" s="169"/>
      <c r="B86" s="169"/>
      <c r="C86" s="169"/>
      <c r="D86" s="169"/>
      <c r="E86" s="169"/>
      <c r="F86" s="169"/>
      <c r="G86" s="169"/>
      <c r="H86" s="169"/>
      <c r="I86" s="169"/>
      <c r="J86" s="169"/>
      <c r="K86" s="169"/>
      <c r="L86" s="169"/>
      <c r="M86" s="169"/>
      <c r="N86" s="169"/>
      <c r="O86" s="169"/>
      <c r="P86" s="169"/>
      <c r="Q86" s="169"/>
      <c r="R86" s="169"/>
      <c r="S86" s="169"/>
      <c r="T86" s="169"/>
      <c r="U86" s="169"/>
      <c r="V86" s="169"/>
      <c r="W86" s="169"/>
      <c r="X86" s="169"/>
      <c r="Y86" s="169"/>
      <c r="Z86" s="169"/>
    </row>
    <row r="87" spans="1:26" x14ac:dyDescent="0.25">
      <c r="A87" s="169"/>
      <c r="B87" s="169"/>
      <c r="C87" s="169"/>
      <c r="D87" s="169"/>
      <c r="E87" s="169"/>
      <c r="F87" s="169"/>
      <c r="G87" s="169"/>
      <c r="H87" s="169"/>
      <c r="I87" s="169"/>
      <c r="J87" s="169"/>
      <c r="K87" s="169"/>
      <c r="L87" s="169"/>
      <c r="M87" s="169"/>
      <c r="N87" s="169"/>
      <c r="O87" s="169"/>
      <c r="P87" s="169"/>
      <c r="Q87" s="169"/>
      <c r="R87" s="169"/>
      <c r="S87" s="169"/>
      <c r="T87" s="169"/>
      <c r="U87" s="169"/>
      <c r="V87" s="169"/>
      <c r="W87" s="169"/>
      <c r="X87" s="169"/>
      <c r="Y87" s="169"/>
      <c r="Z87" s="169"/>
    </row>
    <row r="88" spans="1:26" x14ac:dyDescent="0.25">
      <c r="A88" s="169"/>
      <c r="B88" s="169"/>
      <c r="C88" s="169"/>
      <c r="D88" s="169"/>
      <c r="E88" s="169"/>
      <c r="F88" s="169"/>
      <c r="G88" s="169"/>
      <c r="H88" s="169"/>
      <c r="I88" s="169"/>
      <c r="J88" s="169"/>
      <c r="K88" s="169"/>
      <c r="L88" s="169"/>
      <c r="M88" s="169"/>
      <c r="N88" s="169"/>
      <c r="O88" s="169"/>
      <c r="P88" s="169"/>
      <c r="Q88" s="169"/>
      <c r="R88" s="169"/>
      <c r="S88" s="169"/>
      <c r="T88" s="169"/>
      <c r="U88" s="169"/>
      <c r="V88" s="169"/>
      <c r="W88" s="169"/>
      <c r="X88" s="169"/>
      <c r="Y88" s="169"/>
      <c r="Z88" s="169"/>
    </row>
    <row r="89" spans="1:26" x14ac:dyDescent="0.25">
      <c r="A89" s="169"/>
      <c r="B89" s="169"/>
      <c r="C89" s="169"/>
      <c r="D89" s="169"/>
      <c r="E89" s="169"/>
      <c r="F89" s="169"/>
      <c r="G89" s="169"/>
      <c r="H89" s="169"/>
      <c r="I89" s="169"/>
      <c r="J89" s="169"/>
      <c r="K89" s="169"/>
      <c r="L89" s="169"/>
      <c r="M89" s="169"/>
      <c r="N89" s="169"/>
      <c r="O89" s="169"/>
      <c r="P89" s="169"/>
      <c r="Q89" s="169"/>
      <c r="R89" s="169"/>
      <c r="S89" s="169"/>
      <c r="T89" s="169"/>
      <c r="U89" s="169"/>
      <c r="V89" s="169"/>
      <c r="W89" s="169"/>
      <c r="X89" s="169"/>
      <c r="Y89" s="169"/>
      <c r="Z89" s="169"/>
    </row>
    <row r="90" spans="1:26" x14ac:dyDescent="0.25">
      <c r="A90" s="169"/>
      <c r="B90" s="169"/>
      <c r="C90" s="169"/>
      <c r="D90" s="169"/>
      <c r="E90" s="169"/>
      <c r="F90" s="169"/>
      <c r="G90" s="169"/>
      <c r="H90" s="169"/>
      <c r="I90" s="169"/>
      <c r="J90" s="169"/>
      <c r="K90" s="169"/>
      <c r="L90" s="169"/>
      <c r="M90" s="169"/>
      <c r="N90" s="169"/>
      <c r="O90" s="169"/>
      <c r="P90" s="169"/>
      <c r="Q90" s="169"/>
      <c r="R90" s="169"/>
      <c r="S90" s="169"/>
      <c r="T90" s="169"/>
      <c r="U90" s="169"/>
      <c r="V90" s="169"/>
      <c r="W90" s="169"/>
      <c r="X90" s="169"/>
      <c r="Y90" s="169"/>
      <c r="Z90" s="169"/>
    </row>
    <row r="91" spans="1:26" x14ac:dyDescent="0.25">
      <c r="A91" s="169"/>
      <c r="B91" s="169"/>
      <c r="C91" s="169"/>
      <c r="D91" s="169"/>
      <c r="E91" s="169"/>
      <c r="F91" s="169"/>
      <c r="G91" s="169"/>
      <c r="H91" s="169"/>
      <c r="I91" s="169"/>
      <c r="J91" s="169"/>
      <c r="K91" s="169"/>
      <c r="L91" s="169"/>
      <c r="M91" s="169"/>
      <c r="N91" s="169"/>
      <c r="O91" s="169"/>
      <c r="P91" s="169"/>
      <c r="Q91" s="169"/>
      <c r="R91" s="169"/>
      <c r="S91" s="169"/>
      <c r="T91" s="169"/>
      <c r="U91" s="169"/>
      <c r="V91" s="169"/>
      <c r="W91" s="169"/>
      <c r="X91" s="169"/>
      <c r="Y91" s="169"/>
      <c r="Z91" s="169"/>
    </row>
    <row r="92" spans="1:26" x14ac:dyDescent="0.25">
      <c r="A92" s="169"/>
      <c r="B92" s="169"/>
      <c r="C92" s="169"/>
      <c r="D92" s="169"/>
      <c r="E92" s="169"/>
      <c r="F92" s="169"/>
      <c r="G92" s="169"/>
      <c r="H92" s="169"/>
      <c r="I92" s="169"/>
      <c r="J92" s="169"/>
      <c r="K92" s="169"/>
      <c r="L92" s="169"/>
      <c r="M92" s="169"/>
      <c r="N92" s="169"/>
      <c r="O92" s="169"/>
      <c r="P92" s="169"/>
      <c r="Q92" s="169"/>
      <c r="R92" s="169"/>
      <c r="S92" s="169"/>
      <c r="T92" s="169"/>
      <c r="U92" s="169"/>
      <c r="V92" s="169"/>
      <c r="W92" s="169"/>
      <c r="X92" s="169"/>
      <c r="Y92" s="169"/>
      <c r="Z92" s="169"/>
    </row>
    <row r="93" spans="1:26" x14ac:dyDescent="0.25">
      <c r="A93" s="169"/>
      <c r="B93" s="169"/>
      <c r="C93" s="169"/>
      <c r="D93" s="169"/>
      <c r="E93" s="169"/>
      <c r="F93" s="169"/>
      <c r="G93" s="169"/>
      <c r="H93" s="169"/>
      <c r="I93" s="169"/>
      <c r="J93" s="169"/>
      <c r="K93" s="169"/>
      <c r="L93" s="169"/>
      <c r="M93" s="169"/>
      <c r="N93" s="169"/>
      <c r="O93" s="169"/>
      <c r="P93" s="169"/>
      <c r="Q93" s="169"/>
      <c r="R93" s="169"/>
      <c r="S93" s="169"/>
      <c r="T93" s="169"/>
      <c r="U93" s="169"/>
      <c r="V93" s="169"/>
      <c r="W93" s="169"/>
      <c r="X93" s="169"/>
      <c r="Y93" s="169"/>
      <c r="Z93" s="169"/>
    </row>
    <row r="94" spans="1:26" x14ac:dyDescent="0.25">
      <c r="A94" s="169"/>
      <c r="B94" s="169"/>
      <c r="C94" s="169"/>
      <c r="D94" s="169"/>
      <c r="E94" s="169"/>
      <c r="F94" s="169"/>
      <c r="G94" s="169"/>
      <c r="H94" s="169"/>
      <c r="I94" s="169"/>
      <c r="J94" s="169"/>
      <c r="K94" s="169"/>
      <c r="L94" s="169"/>
      <c r="M94" s="169"/>
      <c r="N94" s="169"/>
      <c r="O94" s="169"/>
      <c r="P94" s="169"/>
      <c r="Q94" s="169"/>
      <c r="R94" s="169"/>
      <c r="S94" s="169"/>
      <c r="T94" s="169"/>
      <c r="U94" s="169"/>
      <c r="V94" s="169"/>
      <c r="W94" s="169"/>
      <c r="X94" s="169"/>
      <c r="Y94" s="169"/>
      <c r="Z94" s="169"/>
    </row>
    <row r="95" spans="1:26" x14ac:dyDescent="0.25">
      <c r="A95" s="169"/>
      <c r="B95" s="169"/>
      <c r="C95" s="169"/>
      <c r="D95" s="169"/>
      <c r="E95" s="169"/>
      <c r="F95" s="169"/>
      <c r="G95" s="169"/>
      <c r="H95" s="169"/>
      <c r="I95" s="169"/>
      <c r="J95" s="169"/>
      <c r="K95" s="169"/>
      <c r="L95" s="169"/>
      <c r="M95" s="169"/>
      <c r="N95" s="169"/>
      <c r="O95" s="169"/>
      <c r="P95" s="169"/>
      <c r="Q95" s="169"/>
      <c r="R95" s="169"/>
      <c r="S95" s="169"/>
      <c r="T95" s="169"/>
      <c r="U95" s="169"/>
      <c r="V95" s="169"/>
      <c r="W95" s="169"/>
      <c r="X95" s="169"/>
      <c r="Y95" s="169"/>
      <c r="Z95" s="169"/>
    </row>
    <row r="96" spans="1:26" x14ac:dyDescent="0.25">
      <c r="A96" s="169"/>
      <c r="B96" s="169"/>
      <c r="C96" s="169"/>
      <c r="D96" s="169"/>
      <c r="E96" s="169"/>
      <c r="F96" s="169"/>
      <c r="G96" s="169"/>
      <c r="H96" s="169"/>
      <c r="I96" s="169"/>
      <c r="J96" s="169"/>
      <c r="K96" s="169"/>
      <c r="L96" s="169"/>
      <c r="M96" s="169"/>
      <c r="N96" s="169"/>
      <c r="O96" s="169"/>
      <c r="P96" s="169"/>
      <c r="Q96" s="169"/>
      <c r="R96" s="169"/>
      <c r="S96" s="169"/>
      <c r="T96" s="169"/>
      <c r="U96" s="169"/>
      <c r="V96" s="169"/>
      <c r="W96" s="169"/>
      <c r="X96" s="169"/>
      <c r="Y96" s="169"/>
      <c r="Z96" s="169"/>
    </row>
    <row r="97" spans="1:26" x14ac:dyDescent="0.25">
      <c r="A97" s="169"/>
      <c r="B97" s="169"/>
      <c r="C97" s="169"/>
      <c r="D97" s="169"/>
      <c r="E97" s="169"/>
      <c r="F97" s="169"/>
      <c r="G97" s="169"/>
      <c r="H97" s="169"/>
      <c r="I97" s="169"/>
      <c r="J97" s="169"/>
      <c r="K97" s="169"/>
      <c r="L97" s="169"/>
      <c r="M97" s="169"/>
      <c r="N97" s="169"/>
      <c r="O97" s="169"/>
      <c r="P97" s="169"/>
      <c r="Q97" s="169"/>
      <c r="R97" s="169"/>
      <c r="S97" s="169"/>
      <c r="T97" s="169"/>
      <c r="U97" s="169"/>
      <c r="V97" s="169"/>
      <c r="W97" s="169"/>
      <c r="X97" s="169"/>
      <c r="Y97" s="169"/>
      <c r="Z97" s="169"/>
    </row>
    <row r="98" spans="1:26" x14ac:dyDescent="0.25">
      <c r="A98" s="169"/>
      <c r="B98" s="169"/>
      <c r="C98" s="169"/>
      <c r="D98" s="169"/>
      <c r="E98" s="169"/>
      <c r="F98" s="169"/>
      <c r="G98" s="169"/>
      <c r="H98" s="169"/>
      <c r="I98" s="169"/>
      <c r="J98" s="169"/>
      <c r="K98" s="169"/>
      <c r="L98" s="169"/>
      <c r="M98" s="169"/>
      <c r="N98" s="169"/>
      <c r="O98" s="169"/>
      <c r="P98" s="169"/>
      <c r="Q98" s="169"/>
      <c r="R98" s="169"/>
      <c r="S98" s="169"/>
      <c r="T98" s="169"/>
      <c r="U98" s="169"/>
      <c r="V98" s="169"/>
      <c r="W98" s="169"/>
      <c r="X98" s="169"/>
      <c r="Y98" s="169"/>
      <c r="Z98" s="169"/>
    </row>
    <row r="99" spans="1:26" x14ac:dyDescent="0.25">
      <c r="A99" s="169"/>
      <c r="B99" s="169"/>
      <c r="C99" s="169"/>
      <c r="D99" s="169"/>
      <c r="E99" s="169"/>
      <c r="F99" s="169"/>
      <c r="G99" s="169"/>
      <c r="H99" s="169"/>
      <c r="I99" s="169"/>
      <c r="J99" s="169"/>
      <c r="K99" s="169"/>
      <c r="L99" s="169"/>
      <c r="M99" s="169"/>
      <c r="N99" s="169"/>
      <c r="O99" s="169"/>
      <c r="P99" s="169"/>
      <c r="Q99" s="169"/>
      <c r="R99" s="169"/>
      <c r="S99" s="169"/>
      <c r="T99" s="169"/>
      <c r="U99" s="169"/>
      <c r="V99" s="169"/>
      <c r="W99" s="169"/>
      <c r="X99" s="169"/>
      <c r="Y99" s="169"/>
      <c r="Z99" s="169"/>
    </row>
  </sheetData>
  <mergeCells count="9">
    <mergeCell ref="B31:D31"/>
    <mergeCell ref="A16:D16"/>
    <mergeCell ref="B19:D19"/>
    <mergeCell ref="B20:D20"/>
    <mergeCell ref="B23:D23"/>
    <mergeCell ref="B26:D26"/>
    <mergeCell ref="B30:D30"/>
    <mergeCell ref="B24:D24"/>
    <mergeCell ref="B27:D27"/>
  </mergeCells>
  <hyperlinks>
    <hyperlink ref="B30" r:id="rId1" xr:uid="{437FA3AB-31EB-4FD7-A7E7-87C1242F0967}"/>
    <hyperlink ref="B32" r:id="rId2" xr:uid="{D0C28B2E-8DF1-4E5B-9519-44F33BC2C71D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1">
    <tabColor theme="7"/>
  </sheetPr>
  <dimension ref="A1:U45"/>
  <sheetViews>
    <sheetView tabSelected="1" topLeftCell="A3" zoomScale="85" zoomScaleNormal="85" workbookViewId="0">
      <selection activeCell="C30" sqref="C30"/>
    </sheetView>
  </sheetViews>
  <sheetFormatPr defaultColWidth="9.140625" defaultRowHeight="14.25" x14ac:dyDescent="0.2"/>
  <cols>
    <col min="1" max="1" width="3.7109375" style="3" customWidth="1"/>
    <col min="2" max="2" width="19.5703125" style="3" customWidth="1"/>
    <col min="3" max="3" width="93.5703125" style="3" bestFit="1" customWidth="1"/>
    <col min="4" max="4" width="11.28515625" style="3" customWidth="1"/>
    <col min="5" max="6" width="11.42578125" style="3" customWidth="1"/>
    <col min="7" max="7" width="9.140625" style="3"/>
    <col min="8" max="8" width="18.5703125" style="3" customWidth="1"/>
    <col min="9" max="9" width="96.5703125" style="3" customWidth="1"/>
    <col min="10" max="16384" width="9.140625" style="3"/>
  </cols>
  <sheetData>
    <row r="1" spans="2:21" ht="15" thickBot="1" x14ac:dyDescent="0.25"/>
    <row r="2" spans="2:21" ht="19.5" thickBot="1" x14ac:dyDescent="0.25">
      <c r="B2" s="210" t="s">
        <v>1</v>
      </c>
      <c r="C2" s="211"/>
      <c r="D2" s="211"/>
      <c r="E2" s="212"/>
      <c r="F2" s="124"/>
      <c r="H2" s="210" t="s">
        <v>2</v>
      </c>
      <c r="I2" s="212"/>
      <c r="J2" s="4"/>
      <c r="K2" s="4"/>
      <c r="L2" s="5"/>
      <c r="M2" s="5"/>
      <c r="N2" s="5"/>
      <c r="O2" s="5"/>
      <c r="P2" s="5"/>
      <c r="Q2" s="5"/>
      <c r="R2" s="5"/>
      <c r="S2" s="5"/>
      <c r="T2" s="5"/>
      <c r="U2" s="5"/>
    </row>
    <row r="3" spans="2:21" ht="15.75" thickBot="1" x14ac:dyDescent="0.25">
      <c r="B3" s="6" t="s">
        <v>30</v>
      </c>
      <c r="C3" s="7" t="s">
        <v>3</v>
      </c>
      <c r="D3" s="7" t="s">
        <v>4</v>
      </c>
      <c r="E3" s="8" t="s">
        <v>68</v>
      </c>
      <c r="F3" s="125"/>
      <c r="H3" s="9"/>
      <c r="I3" s="10" t="s">
        <v>31</v>
      </c>
      <c r="J3" s="4"/>
      <c r="K3" s="4"/>
      <c r="L3" s="5"/>
      <c r="M3" s="5"/>
      <c r="N3" s="5"/>
      <c r="O3" s="5"/>
      <c r="P3" s="5"/>
      <c r="Q3" s="5"/>
      <c r="R3" s="5"/>
      <c r="S3" s="5"/>
      <c r="T3" s="5"/>
      <c r="U3" s="5"/>
    </row>
    <row r="4" spans="2:21" x14ac:dyDescent="0.2">
      <c r="B4" s="11" t="s">
        <v>69</v>
      </c>
      <c r="C4" s="12" t="s">
        <v>70</v>
      </c>
      <c r="D4" s="13">
        <v>44136</v>
      </c>
      <c r="E4" s="14" t="s">
        <v>71</v>
      </c>
      <c r="F4" s="126"/>
      <c r="H4" s="15"/>
      <c r="I4" s="16" t="s">
        <v>33</v>
      </c>
      <c r="J4" s="4"/>
      <c r="K4" s="4"/>
      <c r="L4" s="5"/>
      <c r="M4" s="5"/>
      <c r="N4" s="5"/>
      <c r="O4" s="5"/>
      <c r="P4" s="5"/>
      <c r="Q4" s="5"/>
      <c r="R4" s="5"/>
      <c r="S4" s="5"/>
      <c r="T4" s="5"/>
      <c r="U4" s="5"/>
    </row>
    <row r="5" spans="2:21" x14ac:dyDescent="0.2">
      <c r="B5" s="17" t="s">
        <v>5</v>
      </c>
      <c r="C5" s="18" t="s">
        <v>32</v>
      </c>
      <c r="D5" s="19">
        <v>44169</v>
      </c>
      <c r="E5" s="20" t="s">
        <v>72</v>
      </c>
      <c r="F5" s="126"/>
      <c r="H5" s="21"/>
      <c r="I5" s="16" t="s">
        <v>34</v>
      </c>
      <c r="J5" s="4"/>
      <c r="K5" s="4"/>
      <c r="L5" s="5"/>
      <c r="M5" s="5"/>
      <c r="N5" s="5"/>
      <c r="O5" s="5"/>
      <c r="P5" s="5"/>
      <c r="Q5" s="5"/>
      <c r="R5" s="5"/>
      <c r="S5" s="5"/>
      <c r="T5" s="5"/>
      <c r="U5" s="5"/>
    </row>
    <row r="6" spans="2:21" x14ac:dyDescent="0.2">
      <c r="B6" s="17" t="s">
        <v>73</v>
      </c>
      <c r="C6" s="18" t="s">
        <v>74</v>
      </c>
      <c r="D6" s="19">
        <v>44166</v>
      </c>
      <c r="E6" s="20" t="s">
        <v>72</v>
      </c>
      <c r="F6" s="126"/>
      <c r="H6" s="22" t="s">
        <v>6</v>
      </c>
      <c r="I6" s="16" t="s">
        <v>36</v>
      </c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r="7" spans="2:21" x14ac:dyDescent="0.2">
      <c r="B7" s="17" t="s">
        <v>75</v>
      </c>
      <c r="C7" s="18" t="s">
        <v>76</v>
      </c>
      <c r="D7" s="23">
        <v>43862</v>
      </c>
      <c r="E7" s="20" t="s">
        <v>72</v>
      </c>
      <c r="F7" s="126"/>
      <c r="H7" s="24"/>
      <c r="I7" s="16" t="s">
        <v>38</v>
      </c>
      <c r="J7" s="4"/>
      <c r="K7" s="4"/>
      <c r="L7" s="5"/>
      <c r="M7" s="5"/>
      <c r="N7" s="5"/>
      <c r="O7" s="5"/>
      <c r="P7" s="5"/>
      <c r="Q7" s="5"/>
      <c r="R7" s="5"/>
      <c r="S7" s="5"/>
      <c r="T7" s="5"/>
      <c r="U7" s="5"/>
    </row>
    <row r="8" spans="2:21" x14ac:dyDescent="0.2">
      <c r="B8" s="17" t="s">
        <v>35</v>
      </c>
      <c r="C8" s="18" t="s">
        <v>77</v>
      </c>
      <c r="D8" s="23">
        <v>44166</v>
      </c>
      <c r="E8" s="20" t="s">
        <v>72</v>
      </c>
      <c r="F8" s="126"/>
      <c r="H8" s="25"/>
      <c r="I8" s="16" t="s">
        <v>78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ht="15" thickBot="1" x14ac:dyDescent="0.25">
      <c r="B9" s="17" t="s">
        <v>79</v>
      </c>
      <c r="C9" s="18" t="s">
        <v>80</v>
      </c>
      <c r="D9" s="23">
        <v>44044</v>
      </c>
      <c r="E9" s="20" t="s">
        <v>72</v>
      </c>
      <c r="F9" s="126"/>
      <c r="H9" s="26"/>
      <c r="I9" s="27" t="s">
        <v>7</v>
      </c>
    </row>
    <row r="10" spans="2:21" x14ac:dyDescent="0.2">
      <c r="B10" s="17" t="s">
        <v>81</v>
      </c>
      <c r="C10" s="18" t="s">
        <v>37</v>
      </c>
      <c r="D10" s="23">
        <v>44136</v>
      </c>
      <c r="E10" s="20" t="s">
        <v>72</v>
      </c>
      <c r="F10" s="126"/>
    </row>
    <row r="11" spans="2:21" x14ac:dyDescent="0.2">
      <c r="B11" s="17" t="s">
        <v>82</v>
      </c>
      <c r="C11" s="18" t="s">
        <v>39</v>
      </c>
      <c r="D11" s="23">
        <v>44013</v>
      </c>
      <c r="E11" s="20" t="s">
        <v>72</v>
      </c>
      <c r="F11" s="126"/>
    </row>
    <row r="12" spans="2:21" x14ac:dyDescent="0.2">
      <c r="B12" s="17" t="s">
        <v>83</v>
      </c>
      <c r="C12" s="18" t="s">
        <v>40</v>
      </c>
      <c r="D12" s="23">
        <v>44136</v>
      </c>
      <c r="E12" s="20" t="s">
        <v>71</v>
      </c>
      <c r="F12" s="126"/>
    </row>
    <row r="13" spans="2:21" x14ac:dyDescent="0.2">
      <c r="B13" s="17" t="s">
        <v>84</v>
      </c>
      <c r="C13" s="18" t="s">
        <v>85</v>
      </c>
      <c r="D13" s="23">
        <v>44136</v>
      </c>
      <c r="E13" s="20" t="s">
        <v>72</v>
      </c>
      <c r="F13" s="126"/>
    </row>
    <row r="14" spans="2:21" ht="15" thickBot="1" x14ac:dyDescent="0.25">
      <c r="B14" s="17" t="s">
        <v>86</v>
      </c>
      <c r="C14" s="18" t="s">
        <v>87</v>
      </c>
      <c r="D14" s="23">
        <v>44105</v>
      </c>
      <c r="E14" s="20" t="s">
        <v>72</v>
      </c>
      <c r="F14" s="126"/>
    </row>
    <row r="15" spans="2:21" ht="19.5" thickBot="1" x14ac:dyDescent="0.25">
      <c r="B15" s="17" t="s">
        <v>41</v>
      </c>
      <c r="C15" s="18" t="s">
        <v>42</v>
      </c>
      <c r="D15" s="23">
        <v>44105</v>
      </c>
      <c r="E15" s="20" t="s">
        <v>72</v>
      </c>
      <c r="F15" s="126"/>
      <c r="H15" s="210" t="s">
        <v>11</v>
      </c>
      <c r="I15" s="212"/>
    </row>
    <row r="16" spans="2:21" ht="15" x14ac:dyDescent="0.25">
      <c r="B16" s="17" t="s">
        <v>8</v>
      </c>
      <c r="C16" s="18" t="s">
        <v>43</v>
      </c>
      <c r="D16" s="23">
        <v>44166</v>
      </c>
      <c r="E16" s="20" t="s">
        <v>72</v>
      </c>
      <c r="F16" s="126"/>
      <c r="H16" s="36" t="s">
        <v>12</v>
      </c>
      <c r="I16" s="37" t="s">
        <v>46</v>
      </c>
    </row>
    <row r="17" spans="1:9" ht="15" x14ac:dyDescent="0.25">
      <c r="B17" s="17" t="s">
        <v>9</v>
      </c>
      <c r="C17" s="18" t="s">
        <v>44</v>
      </c>
      <c r="D17" s="23">
        <v>44166</v>
      </c>
      <c r="E17" s="20" t="s">
        <v>72</v>
      </c>
      <c r="F17" s="126"/>
      <c r="H17" s="40" t="s">
        <v>47</v>
      </c>
      <c r="I17" s="41" t="s">
        <v>13</v>
      </c>
    </row>
    <row r="18" spans="1:9" ht="15.75" thickBot="1" x14ac:dyDescent="0.3">
      <c r="B18" s="28" t="s">
        <v>10</v>
      </c>
      <c r="C18" s="29" t="s">
        <v>45</v>
      </c>
      <c r="D18" s="30">
        <v>44166</v>
      </c>
      <c r="E18" s="31" t="s">
        <v>72</v>
      </c>
      <c r="F18" s="126"/>
      <c r="H18" s="40" t="s">
        <v>14</v>
      </c>
      <c r="I18" s="41" t="s">
        <v>88</v>
      </c>
    </row>
    <row r="19" spans="1:9" ht="15.75" thickBot="1" x14ac:dyDescent="0.3">
      <c r="H19" s="44" t="s">
        <v>48</v>
      </c>
      <c r="I19" s="45">
        <v>2018</v>
      </c>
    </row>
    <row r="20" spans="1:9" ht="19.5" thickBot="1" x14ac:dyDescent="0.25">
      <c r="B20" s="213" t="s">
        <v>49</v>
      </c>
      <c r="C20" s="214"/>
      <c r="D20" s="214"/>
      <c r="E20" s="215"/>
      <c r="F20" s="127"/>
    </row>
    <row r="21" spans="1:9" ht="15" customHeight="1" x14ac:dyDescent="0.2">
      <c r="B21" s="32" t="s">
        <v>30</v>
      </c>
      <c r="C21" s="33" t="s">
        <v>3</v>
      </c>
      <c r="D21" s="34" t="s">
        <v>4</v>
      </c>
      <c r="E21" s="35" t="s">
        <v>68</v>
      </c>
      <c r="F21" s="35" t="s">
        <v>191</v>
      </c>
    </row>
    <row r="22" spans="1:9" ht="15" customHeight="1" x14ac:dyDescent="0.25">
      <c r="B22" s="38" t="s">
        <v>189</v>
      </c>
      <c r="C22" s="123" t="s">
        <v>190</v>
      </c>
      <c r="D22" s="47">
        <v>43952</v>
      </c>
      <c r="E22" s="20" t="s">
        <v>72</v>
      </c>
      <c r="F22" s="130" t="s">
        <v>192</v>
      </c>
    </row>
    <row r="23" spans="1:9" ht="15" customHeight="1" x14ac:dyDescent="0.25">
      <c r="B23" s="38" t="s">
        <v>194</v>
      </c>
      <c r="C23" s="131" t="s">
        <v>174</v>
      </c>
      <c r="D23" s="47">
        <v>43952</v>
      </c>
      <c r="E23" s="20" t="s">
        <v>72</v>
      </c>
      <c r="F23" s="130" t="s">
        <v>192</v>
      </c>
    </row>
    <row r="24" spans="1:9" ht="15" customHeight="1" x14ac:dyDescent="0.25">
      <c r="B24" s="133" t="s">
        <v>195</v>
      </c>
      <c r="C24" s="134" t="s">
        <v>202</v>
      </c>
      <c r="D24" s="135">
        <v>43952</v>
      </c>
      <c r="E24" s="136" t="s">
        <v>72</v>
      </c>
      <c r="F24" s="137" t="s">
        <v>193</v>
      </c>
    </row>
    <row r="25" spans="1:9" ht="15" customHeight="1" x14ac:dyDescent="0.25">
      <c r="B25" s="38" t="s">
        <v>196</v>
      </c>
      <c r="C25" s="46" t="s">
        <v>197</v>
      </c>
      <c r="D25" s="47">
        <v>43466</v>
      </c>
      <c r="E25" s="20" t="s">
        <v>72</v>
      </c>
      <c r="F25" s="130" t="s">
        <v>192</v>
      </c>
      <c r="H25" s="46" t="s">
        <v>198</v>
      </c>
    </row>
    <row r="26" spans="1:9" ht="15" customHeight="1" x14ac:dyDescent="0.25">
      <c r="B26" s="38" t="s">
        <v>51</v>
      </c>
      <c r="C26" s="48" t="s">
        <v>52</v>
      </c>
      <c r="D26" s="47">
        <v>43952</v>
      </c>
      <c r="E26" s="20" t="s">
        <v>72</v>
      </c>
      <c r="F26" s="132" t="s">
        <v>192</v>
      </c>
      <c r="H26" s="2" t="s">
        <v>201</v>
      </c>
    </row>
    <row r="27" spans="1:9" ht="15" customHeight="1" x14ac:dyDescent="0.25">
      <c r="B27" s="133" t="s">
        <v>200</v>
      </c>
      <c r="C27" s="138" t="s">
        <v>199</v>
      </c>
      <c r="D27" s="135">
        <v>43983</v>
      </c>
      <c r="E27" s="136" t="s">
        <v>72</v>
      </c>
      <c r="F27" s="137" t="s">
        <v>193</v>
      </c>
    </row>
    <row r="28" spans="1:9" ht="15" customHeight="1" x14ac:dyDescent="0.25">
      <c r="B28" s="38" t="s">
        <v>89</v>
      </c>
      <c r="C28" s="48" t="s">
        <v>90</v>
      </c>
      <c r="D28" s="47">
        <v>43983</v>
      </c>
      <c r="E28" s="20" t="s">
        <v>72</v>
      </c>
      <c r="F28" s="130" t="s">
        <v>192</v>
      </c>
    </row>
    <row r="29" spans="1:9" ht="15" customHeight="1" x14ac:dyDescent="0.2">
      <c r="A29" s="126"/>
      <c r="B29" s="126"/>
      <c r="C29" s="126"/>
      <c r="D29" s="126"/>
      <c r="E29" s="126"/>
      <c r="F29" s="126"/>
    </row>
    <row r="30" spans="1:9" x14ac:dyDescent="0.2">
      <c r="A30" s="126"/>
      <c r="B30" s="126"/>
      <c r="C30" s="126"/>
      <c r="D30" s="126"/>
      <c r="E30" s="126"/>
      <c r="F30" s="126"/>
    </row>
    <row r="31" spans="1:9" x14ac:dyDescent="0.2">
      <c r="A31" s="126"/>
      <c r="B31" s="126"/>
      <c r="C31" s="126"/>
      <c r="D31" s="126"/>
      <c r="E31" s="126"/>
      <c r="F31" s="126"/>
    </row>
    <row r="32" spans="1:9" x14ac:dyDescent="0.2">
      <c r="A32" s="126"/>
      <c r="B32" s="126"/>
      <c r="C32" s="126"/>
      <c r="D32" s="126"/>
      <c r="E32" s="126"/>
      <c r="F32" s="126"/>
    </row>
    <row r="33" spans="1:9" x14ac:dyDescent="0.2">
      <c r="A33" s="126"/>
      <c r="B33" s="126"/>
      <c r="C33" s="126"/>
      <c r="D33" s="126"/>
      <c r="E33" s="126"/>
      <c r="F33" s="126"/>
    </row>
    <row r="34" spans="1:9" x14ac:dyDescent="0.2">
      <c r="A34" s="126"/>
      <c r="B34" s="126"/>
      <c r="C34" s="126"/>
      <c r="D34" s="126"/>
      <c r="E34" s="126"/>
      <c r="F34" s="126"/>
    </row>
    <row r="35" spans="1:9" x14ac:dyDescent="0.2">
      <c r="A35" s="126"/>
      <c r="B35" s="126"/>
      <c r="C35" s="126"/>
      <c r="D35" s="126"/>
      <c r="E35" s="126"/>
      <c r="F35" s="126"/>
    </row>
    <row r="36" spans="1:9" x14ac:dyDescent="0.2">
      <c r="A36" s="126"/>
      <c r="B36" s="126"/>
      <c r="C36" s="126"/>
      <c r="D36" s="126"/>
      <c r="E36" s="126"/>
      <c r="F36" s="126"/>
    </row>
    <row r="37" spans="1:9" ht="15" thickBot="1" x14ac:dyDescent="0.25"/>
    <row r="38" spans="1:9" ht="19.5" thickBot="1" x14ac:dyDescent="0.25">
      <c r="B38" s="210" t="s">
        <v>53</v>
      </c>
      <c r="C38" s="211"/>
      <c r="D38" s="211"/>
      <c r="E38" s="212"/>
      <c r="F38" s="124"/>
      <c r="H38" s="216" t="s">
        <v>50</v>
      </c>
      <c r="I38" s="217"/>
    </row>
    <row r="39" spans="1:9" ht="15" x14ac:dyDescent="0.25">
      <c r="B39" s="49" t="s">
        <v>54</v>
      </c>
      <c r="C39" s="50" t="s">
        <v>3</v>
      </c>
      <c r="D39" s="51" t="s">
        <v>4</v>
      </c>
      <c r="E39" s="51" t="s">
        <v>68</v>
      </c>
      <c r="F39" s="125"/>
      <c r="H39" s="52" t="s">
        <v>15</v>
      </c>
      <c r="I39" s="52" t="s">
        <v>91</v>
      </c>
    </row>
    <row r="40" spans="1:9" ht="15" x14ac:dyDescent="0.25">
      <c r="B40" s="52" t="s">
        <v>16</v>
      </c>
      <c r="C40" s="39" t="s">
        <v>92</v>
      </c>
      <c r="D40" s="53">
        <v>44166</v>
      </c>
      <c r="E40" s="54" t="s">
        <v>72</v>
      </c>
      <c r="F40" s="129"/>
      <c r="H40" s="42"/>
      <c r="I40" s="42"/>
    </row>
    <row r="41" spans="1:9" ht="15" x14ac:dyDescent="0.25">
      <c r="B41" s="52"/>
      <c r="C41" s="42"/>
      <c r="D41" s="42"/>
      <c r="E41" s="43"/>
      <c r="F41" s="128"/>
      <c r="H41" s="42"/>
      <c r="I41" s="42"/>
    </row>
    <row r="42" spans="1:9" ht="15" x14ac:dyDescent="0.25">
      <c r="B42" s="55"/>
      <c r="E42" s="56"/>
      <c r="F42" s="56"/>
      <c r="H42" s="42"/>
      <c r="I42" s="42"/>
    </row>
    <row r="43" spans="1:9" ht="15" x14ac:dyDescent="0.25">
      <c r="B43" s="55"/>
      <c r="C43" s="57"/>
      <c r="D43" s="57"/>
      <c r="E43" s="58"/>
      <c r="F43" s="58"/>
      <c r="H43" s="42"/>
      <c r="I43" s="42"/>
    </row>
    <row r="44" spans="1:9" ht="15" x14ac:dyDescent="0.25">
      <c r="B44" s="55"/>
      <c r="C44" s="57"/>
      <c r="D44" s="57"/>
      <c r="E44" s="58"/>
      <c r="F44" s="58"/>
      <c r="H44" s="42"/>
      <c r="I44" s="42"/>
    </row>
    <row r="45" spans="1:9" x14ac:dyDescent="0.2">
      <c r="H45" s="42"/>
      <c r="I45" s="42"/>
    </row>
  </sheetData>
  <mergeCells count="6">
    <mergeCell ref="B2:E2"/>
    <mergeCell ref="H2:I2"/>
    <mergeCell ref="B20:E20"/>
    <mergeCell ref="H15:I15"/>
    <mergeCell ref="B38:E38"/>
    <mergeCell ref="H38:I38"/>
  </mergeCells>
  <hyperlinks>
    <hyperlink ref="C22" r:id="rId1" xr:uid="{9D97BC3C-B4D2-4506-8CFC-A3E5927AAC5F}"/>
    <hyperlink ref="C23" r:id="rId2" xr:uid="{FBAC4B9D-D0CB-4BD4-BC18-200BE6892338}"/>
    <hyperlink ref="C28" r:id="rId3" xr:uid="{E672637D-1E23-491A-BFE4-80F834BC4B95}"/>
    <hyperlink ref="C26" r:id="rId4" xr:uid="{60161292-23D6-4BE6-8844-1ED64BFDC499}"/>
    <hyperlink ref="C27" r:id="rId5" xr:uid="{46B64FEE-7460-437F-8951-0FFFF029BDE5}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E983-7CFA-4082-B04E-86B82188DDBD}">
  <sheetPr codeName="Sheet1">
    <tabColor rgb="FFC00000"/>
  </sheetPr>
  <dimension ref="A1:Z58"/>
  <sheetViews>
    <sheetView topLeftCell="D1" zoomScaleNormal="100" workbookViewId="0">
      <selection activeCell="O28" sqref="O28"/>
    </sheetView>
  </sheetViews>
  <sheetFormatPr defaultColWidth="9.140625" defaultRowHeight="12.75" x14ac:dyDescent="0.2"/>
  <cols>
    <col min="1" max="1" width="14" style="66" customWidth="1"/>
    <col min="2" max="2" width="18" style="66" customWidth="1"/>
    <col min="3" max="3" width="33.42578125" style="66" customWidth="1"/>
    <col min="4" max="6" width="10.7109375" style="66" customWidth="1"/>
    <col min="7" max="7" width="15.140625" style="66" customWidth="1"/>
    <col min="8" max="8" width="10.7109375" style="66" customWidth="1"/>
    <col min="9" max="9" width="2" style="66" bestFit="1" customWidth="1"/>
    <col min="10" max="10" width="22.42578125" style="66" customWidth="1"/>
    <col min="11" max="11" width="18.85546875" style="66" customWidth="1"/>
    <col min="12" max="12" width="6.42578125" style="66" bestFit="1" customWidth="1"/>
    <col min="13" max="14" width="9.140625" style="66"/>
    <col min="15" max="15" width="9.5703125" style="66" bestFit="1" customWidth="1"/>
    <col min="16" max="16" width="9.140625" style="66"/>
    <col min="17" max="21" width="11.140625" style="66" customWidth="1"/>
    <col min="22" max="16384" width="9.140625" style="66"/>
  </cols>
  <sheetData>
    <row r="1" spans="1:21" ht="21" x14ac:dyDescent="0.2">
      <c r="A1" s="60" t="s">
        <v>65</v>
      </c>
      <c r="B1" s="61"/>
    </row>
    <row r="2" spans="1:21" ht="18.75" x14ac:dyDescent="0.2">
      <c r="A2" s="62" t="s">
        <v>66</v>
      </c>
    </row>
    <row r="4" spans="1:21" ht="15" x14ac:dyDescent="0.2">
      <c r="A4" s="59" t="s">
        <v>18</v>
      </c>
      <c r="C4" s="67"/>
      <c r="D4" s="67"/>
      <c r="F4" s="63"/>
      <c r="G4" s="63"/>
      <c r="K4" s="59" t="s">
        <v>17</v>
      </c>
      <c r="Q4" s="69" t="s">
        <v>109</v>
      </c>
    </row>
    <row r="5" spans="1:21" ht="15.75" thickBot="1" x14ac:dyDescent="0.25">
      <c r="A5" s="1" t="s">
        <v>23</v>
      </c>
      <c r="B5" s="1" t="s">
        <v>19</v>
      </c>
      <c r="C5" s="1" t="s">
        <v>20</v>
      </c>
      <c r="D5" s="1" t="s">
        <v>24</v>
      </c>
      <c r="E5" s="1" t="s">
        <v>25</v>
      </c>
      <c r="F5" s="1" t="s">
        <v>67</v>
      </c>
      <c r="G5" s="1" t="s">
        <v>26</v>
      </c>
      <c r="H5" s="1" t="s">
        <v>56</v>
      </c>
      <c r="I5" s="64"/>
      <c r="J5" s="1" t="s">
        <v>19</v>
      </c>
      <c r="K5" s="1" t="s">
        <v>21</v>
      </c>
      <c r="L5" s="1" t="s">
        <v>55</v>
      </c>
      <c r="M5" s="1" t="s">
        <v>22</v>
      </c>
      <c r="N5" s="1" t="s">
        <v>62</v>
      </c>
      <c r="O5" s="1" t="s">
        <v>104</v>
      </c>
      <c r="Q5" s="1" t="s">
        <v>97</v>
      </c>
      <c r="R5" s="1" t="s">
        <v>103</v>
      </c>
      <c r="S5" s="1" t="s">
        <v>105</v>
      </c>
      <c r="T5" s="1" t="s">
        <v>106</v>
      </c>
      <c r="U5" s="1"/>
    </row>
    <row r="6" spans="1:21" ht="39" thickBot="1" x14ac:dyDescent="0.25">
      <c r="A6" s="65" t="s">
        <v>57</v>
      </c>
      <c r="B6" s="199" t="s">
        <v>58</v>
      </c>
      <c r="C6" s="199" t="s">
        <v>28</v>
      </c>
      <c r="D6" s="199" t="s">
        <v>59</v>
      </c>
      <c r="E6" s="199" t="s">
        <v>60</v>
      </c>
      <c r="F6" s="199" t="s">
        <v>95</v>
      </c>
      <c r="G6" s="199" t="s">
        <v>96</v>
      </c>
      <c r="H6" s="199" t="s">
        <v>61</v>
      </c>
      <c r="I6" s="200"/>
      <c r="J6" s="201" t="s">
        <v>94</v>
      </c>
      <c r="K6" s="201" t="s">
        <v>3</v>
      </c>
      <c r="L6" s="201"/>
      <c r="M6" s="201" t="s">
        <v>63</v>
      </c>
      <c r="N6" s="201" t="s">
        <v>108</v>
      </c>
      <c r="O6" s="201" t="s">
        <v>107</v>
      </c>
      <c r="Q6" s="201"/>
      <c r="R6" s="201"/>
      <c r="S6" s="201" t="s">
        <v>93</v>
      </c>
      <c r="T6" s="201" t="s">
        <v>29</v>
      </c>
      <c r="U6" s="201" t="s">
        <v>93</v>
      </c>
    </row>
    <row r="7" spans="1:21" ht="15" x14ac:dyDescent="0.2">
      <c r="A7" s="63" t="s">
        <v>27</v>
      </c>
      <c r="B7" s="202" t="str">
        <f>"R-RTFT-"&amp;Q7</f>
        <v>R-RTFT-Apt_B3</v>
      </c>
      <c r="C7" s="202" t="str">
        <f t="shared" ref="C7:C8" si="0">"Residential "&amp;Q7&amp;" - "&amp;R7&amp;" retrofit"</f>
        <v>Residential Apt_B3 - Shallow retrofit</v>
      </c>
      <c r="D7" s="202" t="s">
        <v>13</v>
      </c>
      <c r="E7" s="202" t="s">
        <v>64</v>
      </c>
      <c r="F7" s="202" t="s">
        <v>188</v>
      </c>
      <c r="G7" s="202"/>
      <c r="H7" s="202"/>
      <c r="I7" s="202"/>
      <c r="J7" s="202" t="str">
        <f t="shared" ref="J7:J8" si="1">B7</f>
        <v>R-RTFT-Apt_B3</v>
      </c>
      <c r="K7" s="202" t="str">
        <f>LEFT("RSDSH_"&amp;Q7,9)&amp;"-AB"</f>
        <v>RSDSH_Apt-AB</v>
      </c>
      <c r="L7" s="202">
        <v>2020</v>
      </c>
      <c r="M7" s="202">
        <v>30</v>
      </c>
      <c r="N7" s="202">
        <f>U7</f>
        <v>8.84664262611849E-4</v>
      </c>
      <c r="O7" s="203">
        <f>Data!O39/1000</f>
        <v>11.5335</v>
      </c>
      <c r="P7" s="186"/>
      <c r="Q7" s="204" t="s">
        <v>223</v>
      </c>
      <c r="R7" s="204" t="s">
        <v>101</v>
      </c>
      <c r="S7" s="66">
        <v>1.6294840729967088E-2</v>
      </c>
      <c r="T7" s="205">
        <f>Data!R39</f>
        <v>5.4291065329954646E-2</v>
      </c>
      <c r="U7" s="204">
        <f>S7*T7</f>
        <v>8.84664262611849E-4</v>
      </c>
    </row>
    <row r="8" spans="1:21" ht="15" x14ac:dyDescent="0.2">
      <c r="A8" s="68" t="s">
        <v>27</v>
      </c>
      <c r="B8" s="184" t="str">
        <f t="shared" ref="B8:B24" si="2">"R-RTFT-"&amp;Q8</f>
        <v>R-RTFT-Apt_C</v>
      </c>
      <c r="C8" s="184" t="str">
        <f t="shared" si="0"/>
        <v>Residential Apt_C - Shallow retrofit</v>
      </c>
      <c r="D8" s="184" t="s">
        <v>13</v>
      </c>
      <c r="E8" s="184" t="s">
        <v>64</v>
      </c>
      <c r="F8" s="184" t="s">
        <v>188</v>
      </c>
      <c r="G8" s="184"/>
      <c r="H8" s="184"/>
      <c r="I8" s="184"/>
      <c r="J8" s="184" t="str">
        <f t="shared" si="1"/>
        <v>R-RTFT-Apt_C</v>
      </c>
      <c r="K8" s="184" t="str">
        <f>LEFT("RSDSH_"&amp;Q8,9)&amp;"-C"</f>
        <v>RSDSH_Apt-C</v>
      </c>
      <c r="L8" s="184">
        <v>2020</v>
      </c>
      <c r="M8" s="184">
        <v>30</v>
      </c>
      <c r="N8" s="184">
        <f t="shared" ref="N8:N9" si="3">U8</f>
        <v>6.4369688642752147E-4</v>
      </c>
      <c r="O8" s="185">
        <f>Data!O39/1000</f>
        <v>11.5335</v>
      </c>
      <c r="P8" s="186"/>
      <c r="Q8" s="186" t="s">
        <v>224</v>
      </c>
      <c r="R8" s="186" t="s">
        <v>101</v>
      </c>
      <c r="S8" s="66">
        <v>1.1856405515630341E-2</v>
      </c>
      <c r="T8" s="187">
        <f>Data!R39</f>
        <v>5.4291065329954646E-2</v>
      </c>
      <c r="U8" s="186">
        <f>S8*T8</f>
        <v>6.4369688642752147E-4</v>
      </c>
    </row>
    <row r="9" spans="1:21" ht="15" x14ac:dyDescent="0.2">
      <c r="A9" s="63" t="s">
        <v>27</v>
      </c>
      <c r="B9" s="184" t="str">
        <f t="shared" si="2"/>
        <v>R-RTFT-Apt_D</v>
      </c>
      <c r="C9" s="184" t="str">
        <f t="shared" ref="C9:C14" si="4">"Residential "&amp;Q9&amp;" - "&amp;R9&amp;" retrofit"</f>
        <v>Residential Apt_D - Shallow retrofit</v>
      </c>
      <c r="D9" s="184" t="s">
        <v>13</v>
      </c>
      <c r="E9" s="184" t="s">
        <v>64</v>
      </c>
      <c r="F9" s="184" t="s">
        <v>188</v>
      </c>
      <c r="G9" s="184"/>
      <c r="H9" s="184"/>
      <c r="I9" s="184"/>
      <c r="J9" s="184" t="str">
        <f t="shared" ref="J9:J14" si="5">B9</f>
        <v>R-RTFT-Apt_D</v>
      </c>
      <c r="K9" s="184" t="str">
        <f>LEFT("RSDSH_"&amp;Q9,9)&amp;"-D"</f>
        <v>RSDSH_Apt-D</v>
      </c>
      <c r="L9" s="184">
        <v>2020</v>
      </c>
      <c r="M9" s="184">
        <v>30</v>
      </c>
      <c r="N9" s="184">
        <f t="shared" si="3"/>
        <v>4.7542107140211894E-3</v>
      </c>
      <c r="O9" s="185">
        <f>Data!O41/1000</f>
        <v>11.5335</v>
      </c>
      <c r="P9" s="186"/>
      <c r="Q9" s="186" t="s">
        <v>225</v>
      </c>
      <c r="R9" s="186" t="s">
        <v>101</v>
      </c>
      <c r="S9" s="66">
        <v>1.2969600973572654E-2</v>
      </c>
      <c r="T9" s="187">
        <f>Data!R41</f>
        <v>0.36656568877551032</v>
      </c>
      <c r="U9" s="186">
        <f t="shared" ref="U9:U12" si="6">S9*T9</f>
        <v>4.7542107140211894E-3</v>
      </c>
    </row>
    <row r="10" spans="1:21" ht="15" x14ac:dyDescent="0.2">
      <c r="A10" s="68" t="s">
        <v>27</v>
      </c>
      <c r="B10" s="184" t="str">
        <f t="shared" si="2"/>
        <v>R-RTFT-Apt_E</v>
      </c>
      <c r="C10" s="184" t="str">
        <f t="shared" si="4"/>
        <v>Residential Apt_E - Deep retrofit</v>
      </c>
      <c r="D10" s="184" t="s">
        <v>13</v>
      </c>
      <c r="E10" s="184" t="s">
        <v>64</v>
      </c>
      <c r="F10" s="184" t="s">
        <v>188</v>
      </c>
      <c r="G10" s="184"/>
      <c r="H10" s="184"/>
      <c r="I10" s="184"/>
      <c r="J10" s="184" t="str">
        <f t="shared" si="5"/>
        <v>R-RTFT-Apt_E</v>
      </c>
      <c r="K10" s="184" t="str">
        <f>LEFT("RSDSH_"&amp;Q10,9)&amp;"-E"</f>
        <v>RSDSH_Apt-E</v>
      </c>
      <c r="L10" s="184">
        <v>2020</v>
      </c>
      <c r="M10" s="184">
        <v>30</v>
      </c>
      <c r="N10" s="184">
        <f t="shared" ref="N10:N12" si="7">U10</f>
        <v>9.4415911336414356E-3</v>
      </c>
      <c r="O10" s="185">
        <f>Data!O44/1000</f>
        <v>18.273600000000002</v>
      </c>
      <c r="P10" s="186"/>
      <c r="Q10" s="186" t="s">
        <v>226</v>
      </c>
      <c r="R10" s="186" t="s">
        <v>102</v>
      </c>
      <c r="S10" s="66">
        <v>1.7321011836582485E-2</v>
      </c>
      <c r="T10" s="187">
        <f>Data!R44</f>
        <v>0.5450946643717729</v>
      </c>
      <c r="U10" s="186">
        <f t="shared" si="6"/>
        <v>9.4415911336414356E-3</v>
      </c>
    </row>
    <row r="11" spans="1:21" ht="15" x14ac:dyDescent="0.2">
      <c r="A11" s="63" t="s">
        <v>27</v>
      </c>
      <c r="B11" s="184" t="str">
        <f t="shared" si="2"/>
        <v>R-RTFT-Apt_F</v>
      </c>
      <c r="C11" s="184" t="str">
        <f t="shared" si="4"/>
        <v>Residential Apt_F - Deep retrofit</v>
      </c>
      <c r="D11" s="184" t="s">
        <v>13</v>
      </c>
      <c r="E11" s="184" t="s">
        <v>64</v>
      </c>
      <c r="F11" s="184" t="s">
        <v>188</v>
      </c>
      <c r="G11" s="184"/>
      <c r="H11" s="184"/>
      <c r="I11" s="184"/>
      <c r="J11" s="184" t="str">
        <f t="shared" si="5"/>
        <v>R-RTFT-Apt_F</v>
      </c>
      <c r="K11" s="184" t="str">
        <f>LEFT("RSDSH_"&amp;Q11,9)&amp;"-F"</f>
        <v>RSDSH_Apt-F</v>
      </c>
      <c r="L11" s="184">
        <v>2020</v>
      </c>
      <c r="M11" s="184">
        <v>30</v>
      </c>
      <c r="N11" s="184">
        <f t="shared" si="7"/>
        <v>1.5291203365270829E-2</v>
      </c>
      <c r="O11" s="185">
        <f>Data!O48/1000</f>
        <v>19.958400000000001</v>
      </c>
      <c r="P11" s="186"/>
      <c r="Q11" s="186" t="s">
        <v>227</v>
      </c>
      <c r="R11" s="186" t="s">
        <v>102</v>
      </c>
      <c r="S11" s="66">
        <v>2.3542925713001851E-2</v>
      </c>
      <c r="T11" s="187">
        <f>Data!R48</f>
        <v>0.64950310559006208</v>
      </c>
      <c r="U11" s="186">
        <f t="shared" si="6"/>
        <v>1.5291203365270829E-2</v>
      </c>
    </row>
    <row r="12" spans="1:21" ht="15.75" thickBot="1" x14ac:dyDescent="0.25">
      <c r="A12" s="68" t="s">
        <v>27</v>
      </c>
      <c r="B12" s="195" t="str">
        <f t="shared" si="2"/>
        <v>R-RTFT-Apt_G</v>
      </c>
      <c r="C12" s="195" t="str">
        <f t="shared" si="4"/>
        <v>Residential Apt_G - Deep retrofit</v>
      </c>
      <c r="D12" s="195" t="s">
        <v>13</v>
      </c>
      <c r="E12" s="195" t="s">
        <v>64</v>
      </c>
      <c r="F12" s="195" t="s">
        <v>188</v>
      </c>
      <c r="G12" s="184"/>
      <c r="H12" s="195"/>
      <c r="I12" s="195"/>
      <c r="J12" s="195" t="str">
        <f t="shared" si="5"/>
        <v>R-RTFT-Apt_G</v>
      </c>
      <c r="K12" s="195" t="str">
        <f>LEFT("RSDSH_"&amp;Q12,9)&amp;"-G"</f>
        <v>RSDSH_Apt-G</v>
      </c>
      <c r="L12" s="195">
        <v>2020</v>
      </c>
      <c r="M12" s="184">
        <v>30</v>
      </c>
      <c r="N12" s="195">
        <f t="shared" si="7"/>
        <v>1.8834099256932052E-2</v>
      </c>
      <c r="O12" s="196">
        <f>Data!O53/1000</f>
        <v>19.958400000000001</v>
      </c>
      <c r="P12" s="186"/>
      <c r="Q12" s="197" t="s">
        <v>228</v>
      </c>
      <c r="R12" s="197" t="s">
        <v>102</v>
      </c>
      <c r="S12" s="66">
        <v>2.8448640170056879E-2</v>
      </c>
      <c r="T12" s="198">
        <f>Data!R53</f>
        <v>0.66203864734299511</v>
      </c>
      <c r="U12" s="197">
        <f t="shared" si="6"/>
        <v>1.8834099256932052E-2</v>
      </c>
    </row>
    <row r="13" spans="1:21" ht="15" x14ac:dyDescent="0.2">
      <c r="A13" s="63" t="s">
        <v>27</v>
      </c>
      <c r="B13" s="202" t="str">
        <f t="shared" si="2"/>
        <v>R-RTFT-Att_B3</v>
      </c>
      <c r="C13" s="202" t="str">
        <f t="shared" si="4"/>
        <v>Residential Att_B3 - Shallow retrofit</v>
      </c>
      <c r="D13" s="202" t="s">
        <v>13</v>
      </c>
      <c r="E13" s="202" t="s">
        <v>64</v>
      </c>
      <c r="F13" s="202" t="s">
        <v>188</v>
      </c>
      <c r="G13" s="184"/>
      <c r="H13" s="202"/>
      <c r="I13" s="202"/>
      <c r="J13" s="202" t="str">
        <f t="shared" si="5"/>
        <v>R-RTFT-Att_B3</v>
      </c>
      <c r="K13" s="202" t="str">
        <f>LEFT("RSDSH_"&amp;Q13,9)&amp;"-AB"</f>
        <v>RSDSH_Att-AB</v>
      </c>
      <c r="L13" s="202">
        <v>2020</v>
      </c>
      <c r="M13" s="184">
        <v>30</v>
      </c>
      <c r="N13" s="202">
        <f>U13</f>
        <v>1.890806224451268E-3</v>
      </c>
      <c r="O13" s="203">
        <f>Data!M39/1000</f>
        <v>9.0075000000000003</v>
      </c>
      <c r="Q13" s="204" t="s">
        <v>229</v>
      </c>
      <c r="R13" s="204" t="s">
        <v>101</v>
      </c>
      <c r="S13" s="186">
        <v>2.6341835741075181E-2</v>
      </c>
      <c r="T13" s="205">
        <f>Data!P39</f>
        <v>7.1779592092092059E-2</v>
      </c>
      <c r="U13" s="204">
        <f>S13*T13</f>
        <v>1.890806224451268E-3</v>
      </c>
    </row>
    <row r="14" spans="1:21" ht="15" x14ac:dyDescent="0.2">
      <c r="A14" s="68" t="s">
        <v>27</v>
      </c>
      <c r="B14" s="184" t="str">
        <f t="shared" si="2"/>
        <v>R-RTFT-Att_C</v>
      </c>
      <c r="C14" s="184" t="str">
        <f t="shared" si="4"/>
        <v>Residential Att_C - Shallow retrofit</v>
      </c>
      <c r="D14" s="184" t="s">
        <v>13</v>
      </c>
      <c r="E14" s="184" t="s">
        <v>64</v>
      </c>
      <c r="F14" s="184" t="s">
        <v>188</v>
      </c>
      <c r="G14" s="184"/>
      <c r="H14" s="184"/>
      <c r="I14" s="184"/>
      <c r="J14" s="184" t="str">
        <f t="shared" si="5"/>
        <v>R-RTFT-Att_C</v>
      </c>
      <c r="K14" s="184" t="str">
        <f>LEFT("RSDSH_"&amp;Q14,9)&amp;"-C"</f>
        <v>RSDSH_Att-C</v>
      </c>
      <c r="L14" s="184">
        <v>2020</v>
      </c>
      <c r="M14" s="184">
        <v>30</v>
      </c>
      <c r="N14" s="184">
        <f t="shared" ref="N14:N18" si="8">U14</f>
        <v>1.6092605413402321E-3</v>
      </c>
      <c r="O14" s="185">
        <f>Data!M39/1000</f>
        <v>9.0075000000000003</v>
      </c>
      <c r="P14" s="186"/>
      <c r="Q14" s="186" t="s">
        <v>230</v>
      </c>
      <c r="R14" s="186" t="s">
        <v>101</v>
      </c>
      <c r="S14" s="66">
        <v>2.2419471808582819E-2</v>
      </c>
      <c r="T14" s="187">
        <f>Data!P39</f>
        <v>7.1779592092092059E-2</v>
      </c>
      <c r="U14" s="186">
        <f>S14*T14</f>
        <v>1.6092605413402321E-3</v>
      </c>
    </row>
    <row r="15" spans="1:21" ht="15" x14ac:dyDescent="0.2">
      <c r="A15" s="63" t="s">
        <v>27</v>
      </c>
      <c r="B15" s="184" t="str">
        <f t="shared" si="2"/>
        <v>R-RTFT-Att_D</v>
      </c>
      <c r="C15" s="184" t="str">
        <f t="shared" ref="C15:C20" si="9">"Residential "&amp;Q15&amp;" - "&amp;R15&amp;" retrofit"</f>
        <v>Residential Att_D - Shallow retrofit</v>
      </c>
      <c r="D15" s="184" t="s">
        <v>13</v>
      </c>
      <c r="E15" s="184" t="s">
        <v>64</v>
      </c>
      <c r="F15" s="184" t="s">
        <v>188</v>
      </c>
      <c r="G15" s="184"/>
      <c r="H15" s="184"/>
      <c r="I15" s="184"/>
      <c r="J15" s="184" t="str">
        <f t="shared" ref="J15:J20" si="10">B15</f>
        <v>R-RTFT-Att_D</v>
      </c>
      <c r="K15" s="184" t="str">
        <f>LEFT("RSDSH_"&amp;Q15,9)&amp;"-D"</f>
        <v>RSDSH_Att-D</v>
      </c>
      <c r="L15" s="184">
        <v>2020</v>
      </c>
      <c r="M15" s="184">
        <v>30</v>
      </c>
      <c r="N15" s="184">
        <f t="shared" si="8"/>
        <v>1.2628723163304658E-2</v>
      </c>
      <c r="O15" s="185">
        <f>Data!M41/1000</f>
        <v>12.815</v>
      </c>
      <c r="P15" s="186"/>
      <c r="Q15" s="186" t="s">
        <v>231</v>
      </c>
      <c r="R15" s="186" t="s">
        <v>101</v>
      </c>
      <c r="S15" s="66">
        <v>3.19791387227054E-2</v>
      </c>
      <c r="T15" s="187">
        <f>Data!P41</f>
        <v>0.39490504334121357</v>
      </c>
      <c r="U15" s="186">
        <f t="shared" ref="U15:U18" si="11">S15*T15</f>
        <v>1.2628723163304658E-2</v>
      </c>
    </row>
    <row r="16" spans="1:21" ht="15" x14ac:dyDescent="0.2">
      <c r="A16" s="68" t="s">
        <v>27</v>
      </c>
      <c r="B16" s="184" t="str">
        <f t="shared" si="2"/>
        <v>R-RTFT-Att_E</v>
      </c>
      <c r="C16" s="184" t="str">
        <f t="shared" si="9"/>
        <v>Residential Att_E - Deep retrofit</v>
      </c>
      <c r="D16" s="184" t="s">
        <v>13</v>
      </c>
      <c r="E16" s="184" t="s">
        <v>64</v>
      </c>
      <c r="F16" s="184" t="s">
        <v>188</v>
      </c>
      <c r="G16" s="184"/>
      <c r="H16" s="184"/>
      <c r="I16" s="184"/>
      <c r="J16" s="184" t="str">
        <f t="shared" si="10"/>
        <v>R-RTFT-Att_E</v>
      </c>
      <c r="K16" s="184" t="str">
        <f>LEFT("RSDSH_"&amp;Q16,9)&amp;"-E"</f>
        <v>RSDSH_Att-E</v>
      </c>
      <c r="L16" s="184">
        <v>2020</v>
      </c>
      <c r="M16" s="184">
        <v>30</v>
      </c>
      <c r="N16" s="184">
        <f t="shared" si="8"/>
        <v>2.4055673483702616E-2</v>
      </c>
      <c r="O16" s="185">
        <f>Data!M44/1000</f>
        <v>20.303999999999998</v>
      </c>
      <c r="P16" s="186"/>
      <c r="Q16" s="186" t="s">
        <v>232</v>
      </c>
      <c r="R16" s="186" t="s">
        <v>102</v>
      </c>
      <c r="S16" s="66">
        <v>4.3604385678145181E-2</v>
      </c>
      <c r="T16" s="187">
        <f>Data!P44</f>
        <v>0.55168013743533795</v>
      </c>
      <c r="U16" s="186">
        <f t="shared" si="11"/>
        <v>2.4055673483702616E-2</v>
      </c>
    </row>
    <row r="17" spans="1:26" ht="15" x14ac:dyDescent="0.2">
      <c r="A17" s="63" t="s">
        <v>27</v>
      </c>
      <c r="B17" s="184" t="str">
        <f t="shared" si="2"/>
        <v>R-RTFT-Att_F</v>
      </c>
      <c r="C17" s="184" t="str">
        <f t="shared" si="9"/>
        <v>Residential Att_F - Deep retrofit</v>
      </c>
      <c r="D17" s="184" t="s">
        <v>13</v>
      </c>
      <c r="E17" s="184" t="s">
        <v>64</v>
      </c>
      <c r="F17" s="184" t="s">
        <v>188</v>
      </c>
      <c r="G17" s="184"/>
      <c r="H17" s="184"/>
      <c r="I17" s="184"/>
      <c r="J17" s="184" t="str">
        <f t="shared" si="10"/>
        <v>R-RTFT-Att_F</v>
      </c>
      <c r="K17" s="184" t="str">
        <f>LEFT("RSDSH_"&amp;Q17,9)&amp;"-F"</f>
        <v>RSDSH_Att-F</v>
      </c>
      <c r="L17" s="184">
        <v>2020</v>
      </c>
      <c r="M17" s="184">
        <v>30</v>
      </c>
      <c r="N17" s="184">
        <f>U17</f>
        <v>3.6420614039164613E-2</v>
      </c>
      <c r="O17" s="185">
        <f>Data!M48/1000</f>
        <v>22.175999999999998</v>
      </c>
      <c r="P17" s="186"/>
      <c r="Q17" s="186" t="s">
        <v>233</v>
      </c>
      <c r="R17" s="186" t="s">
        <v>102</v>
      </c>
      <c r="S17" s="66">
        <v>5.5698508613813459E-2</v>
      </c>
      <c r="T17" s="187">
        <f>Data!P48</f>
        <v>0.65388849621966627</v>
      </c>
      <c r="U17" s="186">
        <f t="shared" si="11"/>
        <v>3.6420614039164613E-2</v>
      </c>
    </row>
    <row r="18" spans="1:26" ht="15.75" thickBot="1" x14ac:dyDescent="0.25">
      <c r="A18" s="68" t="s">
        <v>27</v>
      </c>
      <c r="B18" s="195" t="str">
        <f t="shared" si="2"/>
        <v>R-RTFT-Att_G</v>
      </c>
      <c r="C18" s="195" t="str">
        <f t="shared" si="9"/>
        <v>Residential Att_G - Deep retrofit</v>
      </c>
      <c r="D18" s="195" t="s">
        <v>13</v>
      </c>
      <c r="E18" s="195" t="s">
        <v>64</v>
      </c>
      <c r="F18" s="195" t="s">
        <v>188</v>
      </c>
      <c r="G18" s="184"/>
      <c r="H18" s="195"/>
      <c r="I18" s="195"/>
      <c r="J18" s="195" t="str">
        <f t="shared" si="10"/>
        <v>R-RTFT-Att_G</v>
      </c>
      <c r="K18" s="195" t="str">
        <f>LEFT("RSDSH_"&amp;Q18,9)&amp;"-G"</f>
        <v>RSDSH_Att-G</v>
      </c>
      <c r="L18" s="195">
        <v>2020</v>
      </c>
      <c r="M18" s="184">
        <v>30</v>
      </c>
      <c r="N18" s="195">
        <f t="shared" si="8"/>
        <v>3.7369002794508319E-2</v>
      </c>
      <c r="O18" s="196">
        <f>Data!M53/1000</f>
        <v>22.175999999999998</v>
      </c>
      <c r="P18" s="186"/>
      <c r="Q18" s="197" t="s">
        <v>234</v>
      </c>
      <c r="R18" s="197" t="s">
        <v>102</v>
      </c>
      <c r="S18" s="66">
        <v>5.7576644935841491E-2</v>
      </c>
      <c r="T18" s="198">
        <f>Data!P53</f>
        <v>0.64903057196453795</v>
      </c>
      <c r="U18" s="197">
        <f t="shared" si="11"/>
        <v>3.7369002794508319E-2</v>
      </c>
    </row>
    <row r="19" spans="1:26" ht="15" x14ac:dyDescent="0.2">
      <c r="A19" s="63" t="s">
        <v>27</v>
      </c>
      <c r="B19" s="202" t="str">
        <f t="shared" si="2"/>
        <v>R-RTFT-Det_B3</v>
      </c>
      <c r="C19" s="202" t="str">
        <f t="shared" si="9"/>
        <v>Residential Det_B3 - Shallow retrofit</v>
      </c>
      <c r="D19" s="202" t="s">
        <v>13</v>
      </c>
      <c r="E19" s="202" t="s">
        <v>64</v>
      </c>
      <c r="F19" s="202" t="s">
        <v>188</v>
      </c>
      <c r="G19" s="184"/>
      <c r="H19" s="202"/>
      <c r="I19" s="202"/>
      <c r="J19" s="202" t="str">
        <f t="shared" si="10"/>
        <v>R-RTFT-Det_B3</v>
      </c>
      <c r="K19" s="202" t="str">
        <f>LEFT("RSDSH_"&amp;Q19,9)&amp;"-AB"</f>
        <v>RSDSH_Det-AB</v>
      </c>
      <c r="L19" s="202">
        <v>2020</v>
      </c>
      <c r="M19" s="184">
        <v>30</v>
      </c>
      <c r="N19" s="202">
        <f>U19</f>
        <v>4.8048482413916866E-3</v>
      </c>
      <c r="O19" s="203">
        <f>Data!N39/1000</f>
        <v>14.096500000000002</v>
      </c>
      <c r="P19" s="186"/>
      <c r="Q19" s="204" t="s">
        <v>235</v>
      </c>
      <c r="R19" s="204" t="s">
        <v>101</v>
      </c>
      <c r="S19" s="66">
        <v>5.8254859397265095E-2</v>
      </c>
      <c r="T19" s="205">
        <f>Data!Q39</f>
        <v>8.2479784366576991E-2</v>
      </c>
      <c r="U19" s="204">
        <f>S19*T19</f>
        <v>4.8048482413916866E-3</v>
      </c>
    </row>
    <row r="20" spans="1:26" ht="15" x14ac:dyDescent="0.2">
      <c r="A20" s="68" t="s">
        <v>27</v>
      </c>
      <c r="B20" s="184" t="str">
        <f t="shared" si="2"/>
        <v>R-RTFT-Det_C</v>
      </c>
      <c r="C20" s="184" t="str">
        <f t="shared" si="9"/>
        <v>Residential Det_C - Shallow retrofit</v>
      </c>
      <c r="D20" s="184" t="s">
        <v>13</v>
      </c>
      <c r="E20" s="184" t="s">
        <v>64</v>
      </c>
      <c r="F20" s="184" t="s">
        <v>188</v>
      </c>
      <c r="G20" s="184"/>
      <c r="H20" s="184"/>
      <c r="I20" s="184"/>
      <c r="J20" s="184" t="str">
        <f t="shared" si="10"/>
        <v>R-RTFT-Det_C</v>
      </c>
      <c r="K20" s="184" t="str">
        <f>LEFT("RSDSH_"&amp;Q20,9)&amp;"-C"</f>
        <v>RSDSH_Det-C</v>
      </c>
      <c r="L20" s="184">
        <v>2020</v>
      </c>
      <c r="M20" s="184">
        <v>30</v>
      </c>
      <c r="N20" s="184">
        <f t="shared" ref="N20:N24" si="12">U20</f>
        <v>3.5430233613999904E-3</v>
      </c>
      <c r="O20" s="185">
        <f>Data!N39/1000</f>
        <v>14.096500000000002</v>
      </c>
      <c r="P20" s="186"/>
      <c r="Q20" s="186" t="s">
        <v>236</v>
      </c>
      <c r="R20" s="186" t="s">
        <v>101</v>
      </c>
      <c r="S20" s="66">
        <v>4.2956263630045545E-2</v>
      </c>
      <c r="T20" s="187">
        <f>Data!Q39</f>
        <v>8.2479784366576991E-2</v>
      </c>
      <c r="U20" s="186">
        <f>S20*T20</f>
        <v>3.5430233613999904E-3</v>
      </c>
    </row>
    <row r="21" spans="1:26" ht="15" x14ac:dyDescent="0.2">
      <c r="A21" s="63" t="s">
        <v>27</v>
      </c>
      <c r="B21" s="184" t="str">
        <f t="shared" si="2"/>
        <v>R-RTFT-Det_D</v>
      </c>
      <c r="C21" s="184" t="str">
        <f t="shared" ref="C21:C24" si="13">"Residential "&amp;Q21&amp;" - "&amp;R21&amp;" retrofit"</f>
        <v>Residential Det_D - Shallow retrofit</v>
      </c>
      <c r="D21" s="184" t="s">
        <v>13</v>
      </c>
      <c r="E21" s="184" t="s">
        <v>64</v>
      </c>
      <c r="F21" s="184" t="s">
        <v>188</v>
      </c>
      <c r="G21" s="184"/>
      <c r="H21" s="184"/>
      <c r="I21" s="184"/>
      <c r="J21" s="184" t="str">
        <f t="shared" ref="J21:J24" si="14">B21</f>
        <v>R-RTFT-Det_D</v>
      </c>
      <c r="K21" s="184" t="str">
        <f>LEFT("RSDSH_"&amp;Q21,9)&amp;"-D"</f>
        <v>RSDSH_Det-D</v>
      </c>
      <c r="L21" s="184">
        <v>2020</v>
      </c>
      <c r="M21" s="184">
        <v>30</v>
      </c>
      <c r="N21" s="184">
        <f t="shared" si="12"/>
        <v>2.0260252166062205E-2</v>
      </c>
      <c r="O21" s="185">
        <f>Data!N41/1000</f>
        <v>14.096500000000002</v>
      </c>
      <c r="P21" s="186"/>
      <c r="Q21" s="186" t="s">
        <v>237</v>
      </c>
      <c r="R21" s="186" t="s">
        <v>101</v>
      </c>
      <c r="S21" s="66">
        <v>5.032483276632424E-2</v>
      </c>
      <c r="T21" s="187">
        <f>Data!Q41</f>
        <v>0.40258955772665206</v>
      </c>
      <c r="U21" s="186">
        <f t="shared" ref="U21:U24" si="15">S21*T21</f>
        <v>2.0260252166062205E-2</v>
      </c>
    </row>
    <row r="22" spans="1:26" ht="15" x14ac:dyDescent="0.2">
      <c r="A22" s="68" t="s">
        <v>27</v>
      </c>
      <c r="B22" s="184" t="str">
        <f t="shared" si="2"/>
        <v>R-RTFT-Det_E</v>
      </c>
      <c r="C22" s="184" t="str">
        <f t="shared" si="13"/>
        <v>Residential Det_E - Deep retrofit</v>
      </c>
      <c r="D22" s="184" t="s">
        <v>13</v>
      </c>
      <c r="E22" s="184" t="s">
        <v>64</v>
      </c>
      <c r="F22" s="184" t="s">
        <v>188</v>
      </c>
      <c r="G22" s="184"/>
      <c r="H22" s="184"/>
      <c r="I22" s="184"/>
      <c r="J22" s="184" t="str">
        <f t="shared" si="14"/>
        <v>R-RTFT-Det_E</v>
      </c>
      <c r="K22" s="184" t="str">
        <f>LEFT("RSDSH_"&amp;Q22,9)&amp;"-E"</f>
        <v>RSDSH_Det-E</v>
      </c>
      <c r="L22" s="184">
        <v>2020</v>
      </c>
      <c r="M22" s="184">
        <v>30</v>
      </c>
      <c r="N22" s="184">
        <f t="shared" si="12"/>
        <v>3.5033314742052707E-2</v>
      </c>
      <c r="O22" s="185">
        <f>Data!N44/1000</f>
        <v>22.334400000000002</v>
      </c>
      <c r="P22" s="186"/>
      <c r="Q22" s="186" t="s">
        <v>238</v>
      </c>
      <c r="R22" s="186" t="s">
        <v>102</v>
      </c>
      <c r="S22" s="66">
        <v>6.321591769829861E-2</v>
      </c>
      <c r="T22" s="187">
        <f>Data!Q44</f>
        <v>0.55418502202643172</v>
      </c>
      <c r="U22" s="186">
        <f t="shared" si="15"/>
        <v>3.5033314742052707E-2</v>
      </c>
    </row>
    <row r="23" spans="1:26" ht="15" x14ac:dyDescent="0.2">
      <c r="A23" s="63" t="s">
        <v>27</v>
      </c>
      <c r="B23" s="184" t="str">
        <f t="shared" si="2"/>
        <v>R-RTFT-Det_F</v>
      </c>
      <c r="C23" s="184" t="str">
        <f t="shared" si="13"/>
        <v>Residential Det_F - Deep retrofit</v>
      </c>
      <c r="D23" s="184" t="s">
        <v>13</v>
      </c>
      <c r="E23" s="184" t="s">
        <v>64</v>
      </c>
      <c r="F23" s="184" t="s">
        <v>188</v>
      </c>
      <c r="G23" s="184"/>
      <c r="H23" s="184"/>
      <c r="I23" s="184"/>
      <c r="J23" s="184" t="str">
        <f t="shared" si="14"/>
        <v>R-RTFT-Det_F</v>
      </c>
      <c r="K23" s="184" t="str">
        <f>LEFT("RSDSH_"&amp;Q23,9)&amp;"-F"</f>
        <v>RSDSH_Det-F</v>
      </c>
      <c r="L23" s="184">
        <v>2020</v>
      </c>
      <c r="M23" s="184">
        <v>30</v>
      </c>
      <c r="N23" s="184">
        <f t="shared" si="12"/>
        <v>5.017067141421324E-2</v>
      </c>
      <c r="O23" s="185">
        <f>Data!N48/1000</f>
        <v>24.393600000000003</v>
      </c>
      <c r="P23" s="186"/>
      <c r="Q23" s="186" t="s">
        <v>239</v>
      </c>
      <c r="R23" s="186" t="s">
        <v>102</v>
      </c>
      <c r="S23" s="66">
        <v>7.724469826612157E-2</v>
      </c>
      <c r="T23" s="187">
        <f>Data!R48</f>
        <v>0.64950310559006208</v>
      </c>
      <c r="U23" s="186">
        <f t="shared" si="15"/>
        <v>5.017067141421324E-2</v>
      </c>
    </row>
    <row r="24" spans="1:26" ht="15.75" thickBot="1" x14ac:dyDescent="0.25">
      <c r="A24" s="68" t="s">
        <v>27</v>
      </c>
      <c r="B24" s="195" t="str">
        <f t="shared" si="2"/>
        <v>R-RTFT-Det_G</v>
      </c>
      <c r="C24" s="195" t="str">
        <f t="shared" si="13"/>
        <v>Residential Det_G - Deep retrofit</v>
      </c>
      <c r="D24" s="195" t="s">
        <v>13</v>
      </c>
      <c r="E24" s="195" t="s">
        <v>64</v>
      </c>
      <c r="F24" s="195" t="s">
        <v>188</v>
      </c>
      <c r="G24" s="184"/>
      <c r="H24" s="195"/>
      <c r="I24" s="195"/>
      <c r="J24" s="195" t="str">
        <f t="shared" si="14"/>
        <v>R-RTFT-Det_G</v>
      </c>
      <c r="K24" s="195" t="str">
        <f>LEFT("RSDSH_"&amp;Q24,9)&amp;"-G"</f>
        <v>RSDSH_Det-G</v>
      </c>
      <c r="L24" s="195">
        <v>2020</v>
      </c>
      <c r="M24" s="184">
        <v>30</v>
      </c>
      <c r="N24" s="195">
        <f t="shared" si="12"/>
        <v>5.375148798769535E-2</v>
      </c>
      <c r="O24" s="196">
        <f>Data!N53/1000</f>
        <v>24.393600000000003</v>
      </c>
      <c r="P24" s="186"/>
      <c r="Q24" s="197" t="s">
        <v>240</v>
      </c>
      <c r="R24" s="197" t="s">
        <v>102</v>
      </c>
      <c r="S24" s="66">
        <v>8.119086129400431E-2</v>
      </c>
      <c r="T24" s="198">
        <f>Data!R53</f>
        <v>0.66203864734299511</v>
      </c>
      <c r="U24" s="197">
        <f t="shared" si="15"/>
        <v>5.375148798769535E-2</v>
      </c>
    </row>
    <row r="27" spans="1:26" x14ac:dyDescent="0.2">
      <c r="V27"/>
      <c r="W27"/>
      <c r="X27"/>
      <c r="Y27"/>
      <c r="Z27"/>
    </row>
    <row r="28" spans="1:26" x14ac:dyDescent="0.2">
      <c r="V28"/>
      <c r="W28"/>
      <c r="X28"/>
      <c r="Y28"/>
      <c r="Z28"/>
    </row>
    <row r="29" spans="1:26" x14ac:dyDescent="0.2">
      <c r="V29"/>
      <c r="W29"/>
      <c r="X29"/>
      <c r="Y29"/>
      <c r="Z29"/>
    </row>
    <row r="30" spans="1:26" x14ac:dyDescent="0.2">
      <c r="V30"/>
      <c r="W30"/>
      <c r="X30"/>
      <c r="Y30"/>
      <c r="Z30"/>
    </row>
    <row r="31" spans="1:26" x14ac:dyDescent="0.2">
      <c r="V31"/>
      <c r="W31"/>
      <c r="X31"/>
      <c r="Y31"/>
      <c r="Z31"/>
    </row>
    <row r="32" spans="1:26" x14ac:dyDescent="0.2">
      <c r="V32"/>
      <c r="W32"/>
      <c r="X32"/>
      <c r="Y32"/>
      <c r="Z32"/>
    </row>
    <row r="33" spans="22:26" x14ac:dyDescent="0.2">
      <c r="V33"/>
      <c r="W33"/>
      <c r="X33"/>
      <c r="Y33"/>
      <c r="Z33"/>
    </row>
    <row r="34" spans="22:26" x14ac:dyDescent="0.2">
      <c r="V34"/>
      <c r="W34"/>
      <c r="X34"/>
      <c r="Y34"/>
      <c r="Z34"/>
    </row>
    <row r="35" spans="22:26" x14ac:dyDescent="0.2">
      <c r="V35"/>
      <c r="W35"/>
      <c r="X35"/>
      <c r="Y35"/>
      <c r="Z35"/>
    </row>
    <row r="36" spans="22:26" x14ac:dyDescent="0.2">
      <c r="V36"/>
      <c r="W36"/>
      <c r="X36"/>
      <c r="Y36"/>
      <c r="Z36"/>
    </row>
    <row r="37" spans="22:26" x14ac:dyDescent="0.2">
      <c r="V37"/>
      <c r="W37"/>
      <c r="X37"/>
      <c r="Y37"/>
      <c r="Z37"/>
    </row>
    <row r="38" spans="22:26" x14ac:dyDescent="0.2">
      <c r="V38"/>
      <c r="W38"/>
      <c r="X38"/>
      <c r="Y38"/>
      <c r="Z38"/>
    </row>
    <row r="39" spans="22:26" x14ac:dyDescent="0.2">
      <c r="V39"/>
      <c r="W39"/>
      <c r="X39"/>
      <c r="Y39"/>
      <c r="Z39"/>
    </row>
    <row r="40" spans="22:26" x14ac:dyDescent="0.2">
      <c r="V40"/>
      <c r="W40"/>
      <c r="X40"/>
      <c r="Y40"/>
      <c r="Z40"/>
    </row>
    <row r="41" spans="22:26" x14ac:dyDescent="0.2">
      <c r="V41"/>
      <c r="W41"/>
      <c r="X41"/>
      <c r="Y41"/>
      <c r="Z41"/>
    </row>
    <row r="42" spans="22:26" x14ac:dyDescent="0.2">
      <c r="V42"/>
      <c r="W42"/>
      <c r="X42"/>
      <c r="Y42"/>
      <c r="Z42"/>
    </row>
    <row r="43" spans="22:26" x14ac:dyDescent="0.2">
      <c r="V43"/>
      <c r="W43"/>
      <c r="X43"/>
      <c r="Y43"/>
      <c r="Z43"/>
    </row>
    <row r="44" spans="22:26" x14ac:dyDescent="0.2">
      <c r="V44"/>
      <c r="W44"/>
      <c r="X44"/>
      <c r="Y44"/>
      <c r="Z44"/>
    </row>
    <row r="45" spans="22:26" x14ac:dyDescent="0.2">
      <c r="V45"/>
      <c r="W45"/>
      <c r="X45"/>
      <c r="Y45"/>
      <c r="Z45"/>
    </row>
    <row r="46" spans="22:26" x14ac:dyDescent="0.2">
      <c r="V46"/>
      <c r="W46"/>
      <c r="X46"/>
      <c r="Y46"/>
      <c r="Z46"/>
    </row>
    <row r="47" spans="22:26" x14ac:dyDescent="0.2">
      <c r="V47"/>
      <c r="W47"/>
      <c r="X47"/>
      <c r="Y47"/>
      <c r="Z47"/>
    </row>
    <row r="48" spans="22:26" x14ac:dyDescent="0.2">
      <c r="V48"/>
      <c r="W48"/>
      <c r="X48"/>
      <c r="Y48"/>
      <c r="Z48"/>
    </row>
    <row r="49" spans="18:26" x14ac:dyDescent="0.2">
      <c r="V49"/>
      <c r="W49"/>
      <c r="X49"/>
      <c r="Y49"/>
      <c r="Z49"/>
    </row>
    <row r="50" spans="18:26" x14ac:dyDescent="0.2">
      <c r="V50"/>
      <c r="W50"/>
      <c r="X50"/>
      <c r="Y50"/>
      <c r="Z50"/>
    </row>
    <row r="51" spans="18:26" x14ac:dyDescent="0.2">
      <c r="V51"/>
      <c r="W51"/>
      <c r="X51"/>
      <c r="Y51"/>
      <c r="Z51"/>
    </row>
    <row r="52" spans="18:26" x14ac:dyDescent="0.2">
      <c r="V52"/>
      <c r="W52"/>
      <c r="X52"/>
      <c r="Y52"/>
      <c r="Z52"/>
    </row>
    <row r="53" spans="18:26" x14ac:dyDescent="0.2">
      <c r="V53"/>
      <c r="W53"/>
      <c r="X53"/>
      <c r="Y53"/>
      <c r="Z53"/>
    </row>
    <row r="54" spans="18:26" x14ac:dyDescent="0.2">
      <c r="V54"/>
      <c r="W54"/>
      <c r="X54"/>
      <c r="Y54"/>
      <c r="Z54"/>
    </row>
    <row r="55" spans="18:26" x14ac:dyDescent="0.2">
      <c r="V55"/>
      <c r="W55"/>
      <c r="X55"/>
      <c r="Y55"/>
      <c r="Z55"/>
    </row>
    <row r="56" spans="18:26" x14ac:dyDescent="0.2">
      <c r="V56"/>
      <c r="W56"/>
      <c r="X56"/>
      <c r="Y56"/>
      <c r="Z56"/>
    </row>
    <row r="57" spans="18:26" x14ac:dyDescent="0.2">
      <c r="V57"/>
      <c r="W57"/>
      <c r="X57"/>
      <c r="Y57"/>
      <c r="Z57"/>
    </row>
    <row r="58" spans="18:26" x14ac:dyDescent="0.2">
      <c r="R58"/>
      <c r="U58"/>
      <c r="V58"/>
      <c r="W58"/>
      <c r="X58"/>
      <c r="Y58"/>
      <c r="Z58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DB4B-6EBE-42F5-800F-C9AB0144B3BB}">
  <sheetPr codeName="Sheet2"/>
  <dimension ref="A1:AP60"/>
  <sheetViews>
    <sheetView zoomScale="80" zoomScaleNormal="80" workbookViewId="0">
      <selection activeCell="G27" sqref="G27"/>
    </sheetView>
  </sheetViews>
  <sheetFormatPr defaultRowHeight="12.75" x14ac:dyDescent="0.2"/>
  <cols>
    <col min="1" max="1" width="11.28515625" customWidth="1"/>
    <col min="2" max="2" width="7.85546875" customWidth="1"/>
    <col min="3" max="3" width="12.7109375" customWidth="1"/>
    <col min="4" max="4" width="10.7109375" customWidth="1"/>
    <col min="5" max="5" width="12.85546875" customWidth="1"/>
    <col min="6" max="6" width="13.28515625" customWidth="1"/>
    <col min="7" max="7" width="13.7109375" customWidth="1"/>
    <col min="8" max="8" width="14.42578125" customWidth="1"/>
    <col min="9" max="9" width="11.7109375" customWidth="1"/>
    <col min="10" max="10" width="12.7109375" customWidth="1"/>
    <col min="11" max="11" width="12.28515625" customWidth="1"/>
    <col min="12" max="12" width="12.5703125" customWidth="1"/>
    <col min="13" max="13" width="13.140625" customWidth="1"/>
    <col min="14" max="15" width="13.5703125" customWidth="1"/>
    <col min="16" max="18" width="10.7109375" customWidth="1"/>
    <col min="19" max="19" width="12.42578125" customWidth="1"/>
    <col min="20" max="21" width="12.28515625" customWidth="1"/>
    <col min="24" max="24" width="11.85546875" customWidth="1"/>
    <col min="40" max="40" width="10.5703125" bestFit="1" customWidth="1"/>
    <col min="41" max="41" width="9" bestFit="1" customWidth="1"/>
    <col min="42" max="42" width="9.42578125" bestFit="1" customWidth="1"/>
  </cols>
  <sheetData>
    <row r="1" spans="3:42" ht="13.5" thickBot="1" x14ac:dyDescent="0.25"/>
    <row r="2" spans="3:42" ht="15.75" thickBot="1" x14ac:dyDescent="0.25">
      <c r="L2" s="221" t="s">
        <v>167</v>
      </c>
      <c r="M2" s="222"/>
      <c r="N2" s="223"/>
      <c r="O2" s="221" t="s">
        <v>168</v>
      </c>
      <c r="P2" s="222"/>
      <c r="Q2" s="223"/>
      <c r="R2" s="221" t="s">
        <v>178</v>
      </c>
      <c r="S2" s="222"/>
      <c r="T2" s="223"/>
      <c r="AD2" s="102" t="s">
        <v>171</v>
      </c>
    </row>
    <row r="3" spans="3:42" ht="21.75" thickBot="1" x14ac:dyDescent="0.25">
      <c r="C3" s="220" t="s">
        <v>156</v>
      </c>
      <c r="D3" s="220"/>
      <c r="E3" s="220"/>
      <c r="F3" s="220"/>
      <c r="G3" s="220"/>
      <c r="L3" s="72" t="s">
        <v>157</v>
      </c>
      <c r="M3" s="72" t="s">
        <v>158</v>
      </c>
      <c r="N3" s="72" t="s">
        <v>159</v>
      </c>
      <c r="O3" s="72" t="s">
        <v>157</v>
      </c>
      <c r="P3" s="72" t="s">
        <v>158</v>
      </c>
      <c r="Q3" s="72" t="s">
        <v>159</v>
      </c>
      <c r="R3" s="72" t="s">
        <v>157</v>
      </c>
      <c r="S3" s="72" t="s">
        <v>158</v>
      </c>
      <c r="T3" s="72" t="s">
        <v>159</v>
      </c>
      <c r="U3" s="72" t="s">
        <v>179</v>
      </c>
      <c r="Y3" s="103"/>
      <c r="AB3" s="2" t="s">
        <v>99</v>
      </c>
      <c r="AC3" s="2" t="s">
        <v>100</v>
      </c>
      <c r="AD3" s="2" t="s">
        <v>98</v>
      </c>
      <c r="AE3" t="s">
        <v>181</v>
      </c>
      <c r="AF3" s="2" t="s">
        <v>100</v>
      </c>
      <c r="AG3" s="2" t="s">
        <v>98</v>
      </c>
      <c r="AH3" s="2" t="s">
        <v>99</v>
      </c>
      <c r="AI3" s="2" t="s">
        <v>99</v>
      </c>
      <c r="AM3" s="157" t="s">
        <v>167</v>
      </c>
      <c r="AN3" s="157"/>
      <c r="AO3" s="152"/>
      <c r="AP3" s="152"/>
    </row>
    <row r="4" spans="3:42" ht="15.75" thickBot="1" x14ac:dyDescent="0.25">
      <c r="C4" s="73" t="s">
        <v>160</v>
      </c>
      <c r="D4" s="72" t="s">
        <v>158</v>
      </c>
      <c r="E4" s="72" t="s">
        <v>159</v>
      </c>
      <c r="F4" s="72" t="s">
        <v>157</v>
      </c>
      <c r="G4" s="74" t="s">
        <v>161</v>
      </c>
      <c r="K4" s="75" t="s">
        <v>111</v>
      </c>
      <c r="L4" s="76">
        <v>1.4285714285714286</v>
      </c>
      <c r="M4" s="76">
        <v>1.375</v>
      </c>
      <c r="N4" s="76">
        <v>1.3478893740902476</v>
      </c>
      <c r="O4" s="77">
        <v>13455.569795438192</v>
      </c>
      <c r="P4" s="77">
        <v>21274.101374868016</v>
      </c>
      <c r="Q4" s="78">
        <v>27468.241730097478</v>
      </c>
      <c r="R4" s="77">
        <v>52.179898737999999</v>
      </c>
      <c r="S4" s="77">
        <v>54.365575896999999</v>
      </c>
      <c r="T4" s="78">
        <v>56</v>
      </c>
      <c r="U4" s="108">
        <f>AVERAGE(R4:T4)</f>
        <v>54.181824878333337</v>
      </c>
      <c r="V4" s="163">
        <f>AVERAGE(AN5:AP5)</f>
        <v>1.383820267553892</v>
      </c>
      <c r="W4" s="163">
        <f>SUM(U4*V4)</f>
        <v>74.977907399693365</v>
      </c>
      <c r="Y4" s="104"/>
      <c r="AN4" s="72" t="s">
        <v>157</v>
      </c>
      <c r="AO4" s="72" t="s">
        <v>158</v>
      </c>
      <c r="AP4" s="72" t="s">
        <v>159</v>
      </c>
    </row>
    <row r="5" spans="3:42" ht="15.75" thickBot="1" x14ac:dyDescent="0.25">
      <c r="C5" s="75" t="s">
        <v>111</v>
      </c>
      <c r="D5" s="77">
        <v>72528.642938868245</v>
      </c>
      <c r="E5" s="77">
        <v>37364.451209178158</v>
      </c>
      <c r="F5" s="77">
        <v>11735.038424732089</v>
      </c>
      <c r="G5" s="79">
        <v>45269.678921539591</v>
      </c>
      <c r="K5" s="80" t="s">
        <v>114</v>
      </c>
      <c r="L5" s="81">
        <v>1</v>
      </c>
      <c r="M5" s="81">
        <v>1</v>
      </c>
      <c r="N5" s="81">
        <v>1</v>
      </c>
      <c r="O5" s="82">
        <v>7459.2913438514906</v>
      </c>
      <c r="P5" s="82">
        <v>9537.7783975583752</v>
      </c>
      <c r="Q5" s="83">
        <v>9433.9012004747347</v>
      </c>
      <c r="R5" s="82">
        <v>90.810760361000007</v>
      </c>
      <c r="S5" s="82">
        <v>89.503049435999998</v>
      </c>
      <c r="T5" s="83">
        <v>90</v>
      </c>
      <c r="U5" s="108">
        <f t="shared" ref="U5:U12" si="0">AVERAGE(R5:T5)</f>
        <v>90.104603265666654</v>
      </c>
      <c r="V5" s="163">
        <f>AVERAGE(AN8:AP8)</f>
        <v>1</v>
      </c>
      <c r="W5" s="163">
        <f t="shared" ref="W5:W12" si="1">SUM(U5*V5)</f>
        <v>90.104603265666654</v>
      </c>
      <c r="AA5" s="141" t="s">
        <v>110</v>
      </c>
      <c r="AB5" s="159">
        <f>AVERAGE(AH5:AI5)*AO5</f>
        <v>323.125</v>
      </c>
      <c r="AC5" s="160">
        <f>AF5*AP5</f>
        <v>539.15574963609902</v>
      </c>
      <c r="AD5" s="160">
        <f>AG5*AN5</f>
        <v>200</v>
      </c>
      <c r="AE5" s="2"/>
      <c r="AF5" s="142">
        <v>400</v>
      </c>
      <c r="AG5" s="142">
        <v>140</v>
      </c>
      <c r="AH5" s="143">
        <v>190</v>
      </c>
      <c r="AI5" s="142">
        <v>280</v>
      </c>
      <c r="AM5" s="75" t="s">
        <v>111</v>
      </c>
      <c r="AN5" s="153">
        <v>1.4285714285714286</v>
      </c>
      <c r="AO5" s="153">
        <v>1.375</v>
      </c>
      <c r="AP5" s="153">
        <v>1.3478893740902476</v>
      </c>
    </row>
    <row r="6" spans="3:42" ht="15.75" thickBot="1" x14ac:dyDescent="0.25">
      <c r="C6" s="80" t="s">
        <v>114</v>
      </c>
      <c r="D6" s="82">
        <v>6727.4572369101443</v>
      </c>
      <c r="E6" s="82">
        <v>8186.7925913057998</v>
      </c>
      <c r="F6" s="82">
        <v>5197.6132443555907</v>
      </c>
      <c r="G6" s="84">
        <v>26430.9709418846</v>
      </c>
      <c r="K6" s="85" t="s">
        <v>115</v>
      </c>
      <c r="L6" s="86">
        <v>1</v>
      </c>
      <c r="M6" s="86">
        <v>1</v>
      </c>
      <c r="N6" s="86">
        <v>1</v>
      </c>
      <c r="O6" s="87">
        <v>14041.847426430093</v>
      </c>
      <c r="P6" s="87">
        <v>17545.09295382088</v>
      </c>
      <c r="Q6" s="88">
        <v>20090.949195825138</v>
      </c>
      <c r="R6" s="87">
        <v>114.211320254</v>
      </c>
      <c r="S6" s="87">
        <v>116.155508754</v>
      </c>
      <c r="T6" s="88">
        <v>116</v>
      </c>
      <c r="U6" s="108">
        <f t="shared" si="0"/>
        <v>115.45560966933333</v>
      </c>
      <c r="V6" s="163">
        <f t="shared" ref="V6:V7" si="2">AVERAGE(AN9:AP9)</f>
        <v>1</v>
      </c>
      <c r="W6" s="163">
        <f t="shared" si="1"/>
        <v>115.45560966933333</v>
      </c>
      <c r="AA6" s="144" t="s">
        <v>112</v>
      </c>
      <c r="AB6" s="159">
        <f t="shared" ref="AB6:AB19" si="3">AVERAGE(AH6:AI6)*AO6</f>
        <v>646.25</v>
      </c>
      <c r="AC6" s="161">
        <f t="shared" ref="AC6:AC19" si="4">AF6*AP6</f>
        <v>1078.311499272198</v>
      </c>
      <c r="AD6" s="161">
        <f t="shared" ref="AD6:AD19" si="5">AG6*AN6</f>
        <v>400</v>
      </c>
      <c r="AE6" s="2"/>
      <c r="AF6" s="145">
        <v>800</v>
      </c>
      <c r="AG6" s="145">
        <v>280</v>
      </c>
      <c r="AH6" s="146">
        <v>380</v>
      </c>
      <c r="AI6" s="145">
        <v>560</v>
      </c>
      <c r="AM6" s="75" t="s">
        <v>111</v>
      </c>
      <c r="AN6" s="153">
        <v>1.4285714285714286</v>
      </c>
      <c r="AO6" s="153">
        <v>1.375</v>
      </c>
      <c r="AP6" s="153">
        <v>1.3478893740902476</v>
      </c>
    </row>
    <row r="7" spans="3:42" ht="15" x14ac:dyDescent="0.2">
      <c r="C7" s="85" t="s">
        <v>115</v>
      </c>
      <c r="D7" s="87">
        <v>14584.48055403824</v>
      </c>
      <c r="E7" s="87">
        <v>18974.694526816245</v>
      </c>
      <c r="F7" s="87">
        <v>13979.419134898935</v>
      </c>
      <c r="G7" s="89">
        <v>51677.889576076108</v>
      </c>
      <c r="K7" s="80" t="s">
        <v>116</v>
      </c>
      <c r="L7" s="81">
        <v>1</v>
      </c>
      <c r="M7" s="81">
        <v>1</v>
      </c>
      <c r="N7" s="81">
        <v>1</v>
      </c>
      <c r="O7" s="82">
        <v>19924.480375055824</v>
      </c>
      <c r="P7" s="82">
        <v>49768.849685929476</v>
      </c>
      <c r="Q7" s="83">
        <v>53466.210043981671</v>
      </c>
      <c r="R7" s="82">
        <v>138.494823139</v>
      </c>
      <c r="S7" s="82">
        <v>140.28979616699999</v>
      </c>
      <c r="T7" s="83">
        <v>140</v>
      </c>
      <c r="U7" s="108">
        <f t="shared" si="0"/>
        <v>139.59487310199998</v>
      </c>
      <c r="V7" s="163">
        <f t="shared" si="2"/>
        <v>1</v>
      </c>
      <c r="W7" s="163">
        <f t="shared" si="1"/>
        <v>139.59487310199998</v>
      </c>
      <c r="AA7" s="144" t="s">
        <v>113</v>
      </c>
      <c r="AB7" s="159">
        <f t="shared" si="3"/>
        <v>804.375</v>
      </c>
      <c r="AC7" s="161">
        <f t="shared" si="4"/>
        <v>1213.1004366812228</v>
      </c>
      <c r="AD7" s="161">
        <f t="shared" si="5"/>
        <v>500</v>
      </c>
      <c r="AE7" s="2"/>
      <c r="AF7" s="145">
        <v>900</v>
      </c>
      <c r="AG7" s="145">
        <v>350</v>
      </c>
      <c r="AH7" s="146">
        <v>470</v>
      </c>
      <c r="AI7" s="145">
        <v>700</v>
      </c>
      <c r="AM7" s="75" t="s">
        <v>111</v>
      </c>
      <c r="AN7" s="153">
        <v>1.4285714285714286</v>
      </c>
      <c r="AO7" s="153">
        <v>1.375</v>
      </c>
      <c r="AP7" s="153">
        <v>1.3478893740902476</v>
      </c>
    </row>
    <row r="8" spans="3:42" ht="15" x14ac:dyDescent="0.2">
      <c r="C8" s="80" t="s">
        <v>116</v>
      </c>
      <c r="D8" s="82">
        <v>49420.927051735707</v>
      </c>
      <c r="E8" s="82">
        <v>54549.088898874157</v>
      </c>
      <c r="F8" s="82">
        <v>21709.86153487581</v>
      </c>
      <c r="G8" s="84">
        <v>123159.54010496697</v>
      </c>
      <c r="K8" s="85" t="s">
        <v>118</v>
      </c>
      <c r="L8" s="86">
        <v>0.62350597609561753</v>
      </c>
      <c r="M8" s="86">
        <v>0.63854266538830295</v>
      </c>
      <c r="N8" s="86">
        <v>0.65110565110565111</v>
      </c>
      <c r="O8" s="87">
        <v>36727.496963354082</v>
      </c>
      <c r="P8" s="87">
        <v>180165.78839768126</v>
      </c>
      <c r="Q8" s="88">
        <v>163635.17790575436</v>
      </c>
      <c r="R8" s="87">
        <v>187.42567462599999</v>
      </c>
      <c r="S8" s="87">
        <v>189.15351469199999</v>
      </c>
      <c r="T8" s="88">
        <v>190</v>
      </c>
      <c r="U8" s="108">
        <f t="shared" si="0"/>
        <v>188.85972977266667</v>
      </c>
      <c r="V8" s="163">
        <f>AVERAGE(AN11:AP11)</f>
        <v>0.6377180975298572</v>
      </c>
      <c r="W8" s="163">
        <f t="shared" si="1"/>
        <v>120.43926757062792</v>
      </c>
      <c r="AA8" s="144" t="s">
        <v>114</v>
      </c>
      <c r="AB8" s="159">
        <f t="shared" si="3"/>
        <v>745</v>
      </c>
      <c r="AC8" s="161">
        <f t="shared" si="4"/>
        <v>1200</v>
      </c>
      <c r="AD8" s="161">
        <f t="shared" si="5"/>
        <v>440</v>
      </c>
      <c r="AE8" s="2"/>
      <c r="AF8" s="147">
        <v>1200</v>
      </c>
      <c r="AG8" s="145">
        <v>440</v>
      </c>
      <c r="AH8" s="146">
        <v>590</v>
      </c>
      <c r="AI8" s="145">
        <v>900</v>
      </c>
      <c r="AM8" s="80" t="s">
        <v>114</v>
      </c>
      <c r="AN8" s="154">
        <v>1</v>
      </c>
      <c r="AO8" s="154">
        <v>1</v>
      </c>
      <c r="AP8" s="154">
        <v>1</v>
      </c>
    </row>
    <row r="9" spans="3:42" ht="15" x14ac:dyDescent="0.25">
      <c r="C9" s="85" t="s">
        <v>118</v>
      </c>
      <c r="D9" s="87">
        <v>293672.95873330871</v>
      </c>
      <c r="E9" s="87">
        <v>264765.40185365622</v>
      </c>
      <c r="F9" s="87">
        <v>71167.091754613168</v>
      </c>
      <c r="G9" s="89">
        <v>592375.26452582516</v>
      </c>
      <c r="I9" s="90" t="s">
        <v>162</v>
      </c>
      <c r="K9" s="80" t="s">
        <v>122</v>
      </c>
      <c r="L9" s="81">
        <v>0.64275466284074612</v>
      </c>
      <c r="M9" s="81">
        <v>0.6669136717302705</v>
      </c>
      <c r="N9" s="81">
        <v>0.67542972699696668</v>
      </c>
      <c r="O9" s="82">
        <v>28113.665794547433</v>
      </c>
      <c r="P9" s="82">
        <v>125131.02640900291</v>
      </c>
      <c r="Q9" s="83">
        <v>112572.38085312897</v>
      </c>
      <c r="R9" s="82">
        <v>260.96259530600003</v>
      </c>
      <c r="S9" s="82">
        <v>259.598229774</v>
      </c>
      <c r="T9" s="83">
        <v>261</v>
      </c>
      <c r="U9" s="108">
        <f t="shared" si="0"/>
        <v>260.5202750266667</v>
      </c>
      <c r="V9" s="163">
        <f>AVERAGE(AN14:AP14)</f>
        <v>0.66169935385599443</v>
      </c>
      <c r="W9" s="163">
        <f t="shared" si="1"/>
        <v>172.38609765153132</v>
      </c>
      <c r="AA9" s="144" t="s">
        <v>115</v>
      </c>
      <c r="AB9" s="159">
        <f t="shared" si="3"/>
        <v>950</v>
      </c>
      <c r="AC9" s="161">
        <f t="shared" si="4"/>
        <v>1500</v>
      </c>
      <c r="AD9" s="161">
        <f t="shared" si="5"/>
        <v>570</v>
      </c>
      <c r="AE9" s="2"/>
      <c r="AF9" s="147">
        <v>1500</v>
      </c>
      <c r="AG9" s="145">
        <v>570</v>
      </c>
      <c r="AH9" s="146">
        <v>800</v>
      </c>
      <c r="AI9" s="147">
        <v>1100</v>
      </c>
      <c r="AM9" s="85" t="s">
        <v>115</v>
      </c>
      <c r="AN9" s="155">
        <v>1</v>
      </c>
      <c r="AO9" s="155">
        <v>1</v>
      </c>
      <c r="AP9" s="155">
        <v>1</v>
      </c>
    </row>
    <row r="10" spans="3:42" ht="15" x14ac:dyDescent="0.2">
      <c r="C10" s="80" t="s">
        <v>122</v>
      </c>
      <c r="D10" s="82">
        <v>175920.34461876052</v>
      </c>
      <c r="E10" s="82">
        <v>166984.19754801539</v>
      </c>
      <c r="F10" s="82">
        <v>47490.854787158918</v>
      </c>
      <c r="G10" s="84">
        <v>398034.15543850785</v>
      </c>
      <c r="K10" s="85" t="s">
        <v>125</v>
      </c>
      <c r="L10" s="86">
        <v>0.65947786606129399</v>
      </c>
      <c r="M10" s="86">
        <v>0.68235651381718798</v>
      </c>
      <c r="N10" s="86">
        <v>0.68787878787878787</v>
      </c>
      <c r="O10" s="87">
        <v>16993.344189187668</v>
      </c>
      <c r="P10" s="87">
        <v>69203.844283713814</v>
      </c>
      <c r="Q10" s="88">
        <v>55991.061950391217</v>
      </c>
      <c r="R10" s="87">
        <v>336.50531067600002</v>
      </c>
      <c r="S10" s="87">
        <v>338.29602796400002</v>
      </c>
      <c r="T10" s="88">
        <v>338</v>
      </c>
      <c r="U10" s="108">
        <f t="shared" si="0"/>
        <v>337.60044621333333</v>
      </c>
      <c r="V10" s="163">
        <f>AVERAGE(AN16:AP16)</f>
        <v>0.67657105591908995</v>
      </c>
      <c r="W10" s="163">
        <f t="shared" si="1"/>
        <v>228.41069037331087</v>
      </c>
      <c r="AA10" s="144" t="s">
        <v>116</v>
      </c>
      <c r="AB10" s="159">
        <f t="shared" si="3"/>
        <v>1150</v>
      </c>
      <c r="AC10" s="161">
        <f t="shared" si="4"/>
        <v>1900</v>
      </c>
      <c r="AD10" s="161">
        <f t="shared" si="5"/>
        <v>700</v>
      </c>
      <c r="AE10" s="2"/>
      <c r="AF10" s="147">
        <v>1900</v>
      </c>
      <c r="AG10" s="145">
        <v>700</v>
      </c>
      <c r="AH10" s="146">
        <v>900</v>
      </c>
      <c r="AI10" s="147">
        <v>1400</v>
      </c>
      <c r="AM10" s="80" t="s">
        <v>116</v>
      </c>
      <c r="AN10" s="154">
        <v>1</v>
      </c>
      <c r="AO10" s="154">
        <v>1</v>
      </c>
      <c r="AP10" s="154">
        <v>1</v>
      </c>
    </row>
    <row r="11" spans="3:42" ht="15" x14ac:dyDescent="0.2">
      <c r="C11" s="85" t="s">
        <v>125</v>
      </c>
      <c r="D11" s="87">
        <v>85755.437936808186</v>
      </c>
      <c r="E11" s="87">
        <v>74836.881491341002</v>
      </c>
      <c r="F11" s="87">
        <v>23790.684938210514</v>
      </c>
      <c r="G11" s="89">
        <v>208583.47042416356</v>
      </c>
      <c r="K11" s="80" t="s">
        <v>127</v>
      </c>
      <c r="L11" s="81">
        <v>0.67760942760942755</v>
      </c>
      <c r="M11" s="81">
        <v>0.69366197183098599</v>
      </c>
      <c r="N11" s="81">
        <v>0.69895091794679653</v>
      </c>
      <c r="O11" s="82">
        <v>8355.7192320215872</v>
      </c>
      <c r="P11" s="82">
        <v>34768.978124585461</v>
      </c>
      <c r="Q11" s="83">
        <v>30223.340670968584</v>
      </c>
      <c r="R11" s="82">
        <v>412.60313041799998</v>
      </c>
      <c r="S11" s="82">
        <v>413.05174855199999</v>
      </c>
      <c r="T11" s="83">
        <v>415</v>
      </c>
      <c r="U11" s="108">
        <f t="shared" si="0"/>
        <v>413.55162632333332</v>
      </c>
      <c r="V11" s="163">
        <f t="shared" ref="V11:V12" si="6">AVERAGE(AN17:AP17)</f>
        <v>0.67657105591908995</v>
      </c>
      <c r="W11" s="163">
        <f t="shared" si="1"/>
        <v>279.79706049863455</v>
      </c>
      <c r="AA11" s="144" t="s">
        <v>117</v>
      </c>
      <c r="AB11" s="159">
        <f t="shared" si="3"/>
        <v>862.03259827420902</v>
      </c>
      <c r="AC11" s="161">
        <f t="shared" si="4"/>
        <v>1432.4324324324325</v>
      </c>
      <c r="AD11" s="161">
        <f t="shared" si="5"/>
        <v>498.80478087649402</v>
      </c>
      <c r="AE11" s="2"/>
      <c r="AF11" s="147">
        <v>2200</v>
      </c>
      <c r="AG11" s="145">
        <v>800</v>
      </c>
      <c r="AH11" s="148">
        <v>1100</v>
      </c>
      <c r="AI11" s="147">
        <v>1600</v>
      </c>
      <c r="AM11" s="85" t="s">
        <v>118</v>
      </c>
      <c r="AN11" s="155">
        <v>0.62350597609561753</v>
      </c>
      <c r="AO11" s="155">
        <v>0.63854266538830295</v>
      </c>
      <c r="AP11" s="155">
        <v>0.65110565110565111</v>
      </c>
    </row>
    <row r="12" spans="3:42" ht="15.75" thickBot="1" x14ac:dyDescent="0.25">
      <c r="C12" s="80" t="s">
        <v>127</v>
      </c>
      <c r="D12" s="82">
        <v>38588.997221862926</v>
      </c>
      <c r="E12" s="82">
        <v>37368.747662299225</v>
      </c>
      <c r="F12" s="82">
        <v>8010.7993972868508</v>
      </c>
      <c r="G12" s="84">
        <v>105695.98501717232</v>
      </c>
      <c r="K12" s="91" t="s">
        <v>128</v>
      </c>
      <c r="L12" s="92">
        <v>0.56219445953286251</v>
      </c>
      <c r="M12" s="92">
        <v>0.54586660910856888</v>
      </c>
      <c r="N12" s="92">
        <v>0.55669942286694751</v>
      </c>
      <c r="O12" s="93">
        <v>8551.6367409636478</v>
      </c>
      <c r="P12" s="93">
        <v>28770.813628890308</v>
      </c>
      <c r="Q12" s="94">
        <v>43665.016200037615</v>
      </c>
      <c r="R12" s="93">
        <v>602.18691236799998</v>
      </c>
      <c r="S12" s="93">
        <v>604.314151735</v>
      </c>
      <c r="T12" s="94">
        <v>673</v>
      </c>
      <c r="U12" s="108">
        <f t="shared" si="0"/>
        <v>626.50035470099999</v>
      </c>
      <c r="V12" s="163">
        <f t="shared" si="6"/>
        <v>0.69007410579573669</v>
      </c>
      <c r="W12" s="163">
        <f t="shared" si="1"/>
        <v>432.33167205100443</v>
      </c>
      <c r="AA12" s="144" t="s">
        <v>119</v>
      </c>
      <c r="AB12" s="159">
        <f t="shared" si="3"/>
        <v>1021.6682646212847</v>
      </c>
      <c r="AC12" s="161">
        <f t="shared" si="4"/>
        <v>1692.874692874693</v>
      </c>
      <c r="AD12" s="161">
        <f t="shared" si="5"/>
        <v>623.50597609561748</v>
      </c>
      <c r="AE12" s="2"/>
      <c r="AF12" s="147">
        <v>2600</v>
      </c>
      <c r="AG12" s="147">
        <v>1000</v>
      </c>
      <c r="AH12" s="148">
        <v>1300</v>
      </c>
      <c r="AI12" s="147">
        <v>1900</v>
      </c>
      <c r="AM12" s="85"/>
      <c r="AN12" s="155">
        <v>0.62350597609561753</v>
      </c>
      <c r="AO12" s="155">
        <v>0.63854266538830295</v>
      </c>
      <c r="AP12" s="155">
        <v>0.65110565110565111</v>
      </c>
    </row>
    <row r="13" spans="3:42" ht="15.75" thickBot="1" x14ac:dyDescent="0.25">
      <c r="C13" s="95" t="s">
        <v>128</v>
      </c>
      <c r="D13" s="96">
        <v>38905.107366988203</v>
      </c>
      <c r="E13" s="96">
        <v>66469.176419880765</v>
      </c>
      <c r="F13" s="96">
        <v>8658.126308421115</v>
      </c>
      <c r="G13" s="89">
        <v>146353.38004986354</v>
      </c>
      <c r="O13" s="97">
        <v>0.74286208971025169</v>
      </c>
      <c r="P13" s="97">
        <v>0.69963472197389465</v>
      </c>
      <c r="Q13" s="97">
        <v>0.71303848954914961</v>
      </c>
      <c r="AA13" s="144" t="s">
        <v>120</v>
      </c>
      <c r="AB13" s="159">
        <f t="shared" si="3"/>
        <v>1181.3039309683604</v>
      </c>
      <c r="AC13" s="161">
        <f t="shared" si="4"/>
        <v>1888.2063882063883</v>
      </c>
      <c r="AD13" s="161">
        <f t="shared" si="5"/>
        <v>685.85657370517924</v>
      </c>
      <c r="AE13" s="2"/>
      <c r="AF13" s="147">
        <v>2900</v>
      </c>
      <c r="AG13" s="147">
        <v>1100</v>
      </c>
      <c r="AH13" s="148">
        <v>1500</v>
      </c>
      <c r="AI13" s="147">
        <v>2200</v>
      </c>
      <c r="AM13" s="85"/>
      <c r="AN13" s="155">
        <v>0.62350597609561753</v>
      </c>
      <c r="AO13" s="155">
        <v>0.63854266538830295</v>
      </c>
      <c r="AP13" s="155">
        <v>0.65110565110565111</v>
      </c>
    </row>
    <row r="14" spans="3:42" ht="15.75" thickBot="1" x14ac:dyDescent="0.25">
      <c r="C14" s="98" t="s">
        <v>163</v>
      </c>
      <c r="D14" s="108">
        <v>776104.35365928081</v>
      </c>
      <c r="E14" s="108">
        <v>729499.43220136687</v>
      </c>
      <c r="F14" s="108">
        <v>211739.48952455298</v>
      </c>
      <c r="G14" s="99">
        <v>1697580.3349999997</v>
      </c>
      <c r="AA14" s="144" t="s">
        <v>121</v>
      </c>
      <c r="AB14" s="159">
        <f t="shared" si="3"/>
        <v>1433.8643942200815</v>
      </c>
      <c r="AC14" s="161">
        <f t="shared" si="4"/>
        <v>2364.0040444893834</v>
      </c>
      <c r="AD14" s="161">
        <f t="shared" si="5"/>
        <v>835.58106169296991</v>
      </c>
      <c r="AE14" s="2"/>
      <c r="AF14" s="147">
        <v>3500</v>
      </c>
      <c r="AG14" s="147">
        <v>1300</v>
      </c>
      <c r="AH14" s="148">
        <v>1700</v>
      </c>
      <c r="AI14" s="147">
        <v>2600</v>
      </c>
      <c r="AM14" s="80" t="s">
        <v>122</v>
      </c>
      <c r="AN14" s="154">
        <v>0.64275466284074612</v>
      </c>
      <c r="AO14" s="154">
        <v>0.6669136717302705</v>
      </c>
      <c r="AP14" s="154">
        <v>0.67542972699696668</v>
      </c>
    </row>
    <row r="15" spans="3:42" ht="15" x14ac:dyDescent="0.2">
      <c r="L15" t="s">
        <v>177</v>
      </c>
      <c r="AA15" s="144" t="s">
        <v>123</v>
      </c>
      <c r="AB15" s="159">
        <f t="shared" si="3"/>
        <v>1700.6298629121898</v>
      </c>
      <c r="AC15" s="161">
        <f t="shared" si="4"/>
        <v>2769.2618806875635</v>
      </c>
      <c r="AD15" s="161">
        <f t="shared" si="5"/>
        <v>964.13199426111919</v>
      </c>
      <c r="AE15" s="2"/>
      <c r="AF15" s="147">
        <v>4100</v>
      </c>
      <c r="AG15" s="147">
        <v>1500</v>
      </c>
      <c r="AH15" s="148">
        <v>2000</v>
      </c>
      <c r="AI15" s="147">
        <v>3100</v>
      </c>
      <c r="AM15" s="80"/>
      <c r="AN15" s="154">
        <v>0.64275466284074612</v>
      </c>
      <c r="AO15" s="154">
        <v>0.6669136717302705</v>
      </c>
      <c r="AP15" s="154">
        <v>0.67542972699696668</v>
      </c>
    </row>
    <row r="16" spans="3:42" ht="15.75" thickBot="1" x14ac:dyDescent="0.25">
      <c r="L16" s="2" t="s">
        <v>180</v>
      </c>
      <c r="O16" t="s">
        <v>205</v>
      </c>
      <c r="AA16" s="144" t="s">
        <v>124</v>
      </c>
      <c r="AB16" s="159">
        <f t="shared" si="3"/>
        <v>1978.8338900698452</v>
      </c>
      <c r="AC16" s="161">
        <f t="shared" si="4"/>
        <v>3233.030303030303</v>
      </c>
      <c r="AD16" s="161">
        <f t="shared" si="5"/>
        <v>1187.0601589103292</v>
      </c>
      <c r="AE16" s="2"/>
      <c r="AF16" s="147">
        <v>4700</v>
      </c>
      <c r="AG16" s="147">
        <v>1800</v>
      </c>
      <c r="AH16" s="148">
        <v>2300</v>
      </c>
      <c r="AI16" s="147">
        <v>3500</v>
      </c>
      <c r="AM16" s="85" t="s">
        <v>125</v>
      </c>
      <c r="AN16" s="155">
        <v>0.65947786606129399</v>
      </c>
      <c r="AO16" s="155">
        <v>0.68235651381718798</v>
      </c>
      <c r="AP16" s="155">
        <v>0.68787878787878787</v>
      </c>
    </row>
    <row r="17" spans="1:42" ht="15.75" thickBot="1" x14ac:dyDescent="0.25">
      <c r="F17" s="72" t="s">
        <v>158</v>
      </c>
      <c r="G17" s="72" t="s">
        <v>159</v>
      </c>
      <c r="H17" s="72" t="s">
        <v>157</v>
      </c>
      <c r="L17" s="101" t="s">
        <v>170</v>
      </c>
      <c r="O17" s="2" t="s">
        <v>179</v>
      </c>
      <c r="P17" s="2" t="s">
        <v>128</v>
      </c>
      <c r="Q17" s="2" t="s">
        <v>127</v>
      </c>
      <c r="R17" s="2" t="s">
        <v>125</v>
      </c>
      <c r="S17" s="2" t="s">
        <v>122</v>
      </c>
      <c r="T17" s="2" t="s">
        <v>118</v>
      </c>
      <c r="U17" s="2" t="s">
        <v>116</v>
      </c>
      <c r="V17" s="2" t="s">
        <v>115</v>
      </c>
      <c r="W17" s="2" t="s">
        <v>114</v>
      </c>
      <c r="AA17" s="144" t="s">
        <v>126</v>
      </c>
      <c r="AB17" s="159">
        <f t="shared" si="3"/>
        <v>2251.7764955967205</v>
      </c>
      <c r="AC17" s="161">
        <f t="shared" si="4"/>
        <v>3645.7575757575755</v>
      </c>
      <c r="AD17" s="161">
        <f t="shared" si="5"/>
        <v>1318.955732122588</v>
      </c>
      <c r="AE17" s="2"/>
      <c r="AF17" s="147">
        <v>5300</v>
      </c>
      <c r="AG17" s="147">
        <v>2000</v>
      </c>
      <c r="AH17" s="148">
        <v>2600</v>
      </c>
      <c r="AI17" s="147">
        <v>4000</v>
      </c>
      <c r="AM17" s="85"/>
      <c r="AN17" s="155">
        <v>0.65947786606129399</v>
      </c>
      <c r="AO17" s="155">
        <v>0.68235651381718798</v>
      </c>
      <c r="AP17" s="155">
        <v>0.68787878787878787</v>
      </c>
    </row>
    <row r="18" spans="1:42" ht="15" x14ac:dyDescent="0.2">
      <c r="C18" t="s">
        <v>185</v>
      </c>
      <c r="F18" s="108">
        <f>SUM(D5:D7)</f>
        <v>93840.580729816618</v>
      </c>
      <c r="G18" s="108">
        <f t="shared" ref="G18:H18" si="7">SUM(E5:E7)</f>
        <v>64525.938327300202</v>
      </c>
      <c r="H18" s="108">
        <f t="shared" si="7"/>
        <v>30912.070803986615</v>
      </c>
      <c r="L18" s="100" t="s">
        <v>169</v>
      </c>
      <c r="N18" t="s">
        <v>204</v>
      </c>
      <c r="O18" s="75" t="s">
        <v>111</v>
      </c>
      <c r="P18" s="164">
        <f t="shared" ref="P18:P25" si="8">1-W4/$W$12</f>
        <v>0.82657317923529827</v>
      </c>
      <c r="Q18" s="165">
        <f t="shared" ref="Q18:Q24" si="9">1-W4/$W$11</f>
        <v>0.73202753715113</v>
      </c>
      <c r="R18" s="165">
        <f t="shared" ref="R18:R23" si="10">1-W4/$W$10</f>
        <v>0.67174081354445081</v>
      </c>
      <c r="S18" s="165">
        <f>1-W4/$W$9</f>
        <v>0.56505827081684434</v>
      </c>
      <c r="T18" s="165">
        <f>1-W4/$W$8</f>
        <v>0.37746294118133139</v>
      </c>
      <c r="U18" s="165">
        <f>1-W4/$W$7</f>
        <v>0.46288924705058421</v>
      </c>
      <c r="V18" s="166">
        <f>1-W4/$W$6</f>
        <v>0.35059104001588781</v>
      </c>
      <c r="W18" s="166">
        <f>1-W4/$W$5</f>
        <v>0.1678792793901257</v>
      </c>
      <c r="AA18" s="144" t="s">
        <v>127</v>
      </c>
      <c r="AB18" s="159">
        <f t="shared" si="3"/>
        <v>2739.9647887323945</v>
      </c>
      <c r="AC18" s="161">
        <f t="shared" si="4"/>
        <v>4403.3907830648186</v>
      </c>
      <c r="AD18" s="161">
        <f t="shared" si="5"/>
        <v>1626.2626262626261</v>
      </c>
      <c r="AE18" s="2"/>
      <c r="AF18" s="147">
        <v>6300</v>
      </c>
      <c r="AG18" s="147">
        <v>2400</v>
      </c>
      <c r="AH18" s="148">
        <v>3200</v>
      </c>
      <c r="AI18" s="147">
        <v>4700</v>
      </c>
      <c r="AM18" s="80" t="s">
        <v>127</v>
      </c>
      <c r="AN18" s="154">
        <v>0.67760942760942755</v>
      </c>
      <c r="AO18" s="154">
        <v>0.69366197183098599</v>
      </c>
      <c r="AP18" s="154">
        <v>0.69895091794679653</v>
      </c>
    </row>
    <row r="19" spans="1:42" ht="15.75" thickBot="1" x14ac:dyDescent="0.25">
      <c r="C19" t="s">
        <v>186</v>
      </c>
      <c r="F19" s="108">
        <f>SUM(D8:D10)</f>
        <v>519014.23040380492</v>
      </c>
      <c r="G19" s="108">
        <f t="shared" ref="G19:H19" si="11">SUM(E8:E10)</f>
        <v>486298.68830054579</v>
      </c>
      <c r="H19" s="108">
        <f t="shared" si="11"/>
        <v>140367.8080766479</v>
      </c>
      <c r="O19" s="192" t="s">
        <v>114</v>
      </c>
      <c r="P19" s="164">
        <f t="shared" si="8"/>
        <v>0.79158454239957576</v>
      </c>
      <c r="Q19" s="165">
        <f t="shared" si="9"/>
        <v>0.67796443927935268</v>
      </c>
      <c r="R19" s="165">
        <f t="shared" si="10"/>
        <v>0.60551494714016629</v>
      </c>
      <c r="S19" s="165">
        <f>1-W5/$W$9</f>
        <v>0.47730933936559095</v>
      </c>
      <c r="T19" s="166">
        <f>1-W5/$W$8</f>
        <v>0.25186689455058697</v>
      </c>
      <c r="U19" s="166">
        <f>1-W5/$W$7</f>
        <v>0.35452784716650365</v>
      </c>
      <c r="V19" s="166">
        <f>1-W5/$W$6</f>
        <v>0.21957362207234754</v>
      </c>
      <c r="W19" s="164"/>
      <c r="AA19" s="149" t="s">
        <v>128</v>
      </c>
      <c r="AB19" s="159">
        <f t="shared" si="3"/>
        <v>2702.039715087416</v>
      </c>
      <c r="AC19" s="162">
        <f t="shared" si="4"/>
        <v>4397.9254406488853</v>
      </c>
      <c r="AD19" s="162">
        <f t="shared" si="5"/>
        <v>1686.5833785985876</v>
      </c>
      <c r="AE19" s="2"/>
      <c r="AF19" s="150">
        <v>7900</v>
      </c>
      <c r="AG19" s="150">
        <v>3000</v>
      </c>
      <c r="AH19" s="151">
        <v>4000</v>
      </c>
      <c r="AI19" s="150">
        <v>5900</v>
      </c>
      <c r="AM19" s="91" t="s">
        <v>128</v>
      </c>
      <c r="AN19" s="156">
        <v>0.56219445953286251</v>
      </c>
      <c r="AO19" s="156">
        <v>0.54586660910856888</v>
      </c>
      <c r="AP19" s="156">
        <v>0.55669942286694751</v>
      </c>
    </row>
    <row r="20" spans="1:42" ht="15.75" thickBot="1" x14ac:dyDescent="0.25">
      <c r="C20" t="s">
        <v>187</v>
      </c>
      <c r="F20" s="108">
        <f>SUM(D11:D13)</f>
        <v>163249.54252565932</v>
      </c>
      <c r="G20" s="108">
        <f t="shared" ref="G20:H20" si="12">SUM(E11:E13)</f>
        <v>178674.80557352101</v>
      </c>
      <c r="H20" s="108">
        <f t="shared" si="12"/>
        <v>40459.61064391848</v>
      </c>
      <c r="O20" s="194" t="s">
        <v>115</v>
      </c>
      <c r="P20" s="188">
        <f t="shared" si="8"/>
        <v>0.73294667697694738</v>
      </c>
      <c r="Q20" s="189">
        <f t="shared" si="9"/>
        <v>0.58735946166276198</v>
      </c>
      <c r="R20" s="189">
        <f t="shared" si="10"/>
        <v>0.49452624358065522</v>
      </c>
      <c r="S20" s="190">
        <f>1-W6/$W$9</f>
        <v>0.33024987953077123</v>
      </c>
      <c r="T20" s="190">
        <f>1-W6/$W$8</f>
        <v>4.1379012026721895E-2</v>
      </c>
      <c r="U20" s="191">
        <f>1-W6/$W$7</f>
        <v>0.17292371056513256</v>
      </c>
      <c r="V20" s="164"/>
      <c r="W20" s="164"/>
      <c r="AA20" s="139" t="s">
        <v>172</v>
      </c>
    </row>
    <row r="21" spans="1:42" ht="15.75" thickBot="1" x14ac:dyDescent="0.25">
      <c r="F21" s="108">
        <f>SUM(F18:F20)</f>
        <v>776104.35365928081</v>
      </c>
      <c r="G21" s="66"/>
      <c r="O21" s="193" t="s">
        <v>116</v>
      </c>
      <c r="P21" s="165">
        <f t="shared" si="8"/>
        <v>0.67711162025267657</v>
      </c>
      <c r="Q21" s="165">
        <f t="shared" si="9"/>
        <v>0.50108527640274758</v>
      </c>
      <c r="R21" s="165">
        <f t="shared" si="10"/>
        <v>0.38884264622707332</v>
      </c>
      <c r="S21" s="166">
        <f>1-W7/$W$9</f>
        <v>0.19021965805976382</v>
      </c>
      <c r="T21" s="166">
        <f>IF(1-W7/$W$8&lt;0,0)</f>
        <v>0</v>
      </c>
      <c r="U21" s="164"/>
      <c r="V21" s="164"/>
      <c r="W21" s="164"/>
      <c r="AA21" s="140" t="s">
        <v>173</v>
      </c>
    </row>
    <row r="22" spans="1:42" ht="15" x14ac:dyDescent="0.2">
      <c r="F22" s="72" t="s">
        <v>158</v>
      </c>
      <c r="G22" s="72" t="s">
        <v>159</v>
      </c>
      <c r="H22" s="72" t="s">
        <v>157</v>
      </c>
      <c r="O22" s="85" t="s">
        <v>118</v>
      </c>
      <c r="P22" s="165">
        <f t="shared" si="8"/>
        <v>0.72141928210057427</v>
      </c>
      <c r="Q22" s="165">
        <f t="shared" si="9"/>
        <v>0.56954777381867572</v>
      </c>
      <c r="R22" s="165">
        <f t="shared" si="10"/>
        <v>0.47270739660309302</v>
      </c>
      <c r="S22" s="166">
        <f>1-W8/$W$9</f>
        <v>0.30134001980780933</v>
      </c>
      <c r="T22" s="164"/>
      <c r="U22" s="164"/>
      <c r="V22" s="164"/>
      <c r="W22" s="164"/>
    </row>
    <row r="23" spans="1:42" ht="15" x14ac:dyDescent="0.2">
      <c r="C23" t="s">
        <v>185</v>
      </c>
      <c r="F23" s="122">
        <f>F18/$D$14</f>
        <v>0.12091232356494906</v>
      </c>
      <c r="G23" s="122">
        <f>G18/$E$14</f>
        <v>8.84523489382084E-2</v>
      </c>
      <c r="H23" s="122">
        <f>H18/$F$14</f>
        <v>0.14599105189777128</v>
      </c>
      <c r="O23" s="80" t="s">
        <v>122</v>
      </c>
      <c r="P23" s="165">
        <f t="shared" si="8"/>
        <v>0.60126424040662463</v>
      </c>
      <c r="Q23" s="165">
        <f t="shared" si="9"/>
        <v>0.38388881804434616</v>
      </c>
      <c r="R23" s="166">
        <f t="shared" si="10"/>
        <v>0.24528008137541124</v>
      </c>
      <c r="S23" s="164"/>
      <c r="T23" s="164"/>
      <c r="U23" s="164"/>
      <c r="V23" s="164"/>
      <c r="W23" s="164"/>
    </row>
    <row r="24" spans="1:42" ht="15" x14ac:dyDescent="0.2">
      <c r="C24" t="s">
        <v>186</v>
      </c>
      <c r="F24" s="206">
        <f>F19/$D$14</f>
        <v>0.66874284103250692</v>
      </c>
      <c r="G24" s="206">
        <f t="shared" ref="G24:G25" si="13">G19/$E$14</f>
        <v>0.66661969404564347</v>
      </c>
      <c r="H24" s="206">
        <f t="shared" ref="H24:H25" si="14">H19/$F$14</f>
        <v>0.66292692209580051</v>
      </c>
      <c r="O24" s="85" t="s">
        <v>125</v>
      </c>
      <c r="P24" s="165">
        <f t="shared" si="8"/>
        <v>0.47167717486503269</v>
      </c>
      <c r="Q24" s="166">
        <f t="shared" si="9"/>
        <v>0.18365586126511313</v>
      </c>
      <c r="R24" s="164"/>
      <c r="S24" s="164"/>
      <c r="T24" s="164"/>
      <c r="U24" s="164"/>
      <c r="V24" s="164"/>
      <c r="W24" s="164"/>
    </row>
    <row r="25" spans="1:42" ht="15" x14ac:dyDescent="0.2">
      <c r="C25" t="s">
        <v>187</v>
      </c>
      <c r="F25" s="122">
        <f t="shared" ref="F25" si="15">F20/$D$14</f>
        <v>0.21034483540254412</v>
      </c>
      <c r="G25" s="122">
        <f t="shared" si="13"/>
        <v>0.24492795701614833</v>
      </c>
      <c r="H25" s="122">
        <f t="shared" si="14"/>
        <v>0.19108202600642829</v>
      </c>
      <c r="O25" s="80" t="s">
        <v>127</v>
      </c>
      <c r="P25" s="166">
        <f t="shared" si="8"/>
        <v>0.3528184988824381</v>
      </c>
      <c r="Q25" s="166"/>
      <c r="R25" s="164"/>
      <c r="S25" s="164"/>
      <c r="T25" s="164"/>
      <c r="U25" s="164"/>
      <c r="V25" s="164"/>
      <c r="W25" s="164"/>
    </row>
    <row r="26" spans="1:42" ht="20.25" customHeight="1" x14ac:dyDescent="0.2"/>
    <row r="27" spans="1:42" x14ac:dyDescent="0.2">
      <c r="C27" s="71"/>
    </row>
    <row r="28" spans="1:42" ht="16.5" customHeight="1" thickBot="1" x14ac:dyDescent="0.25">
      <c r="C28" s="70"/>
      <c r="H28" s="107"/>
      <c r="I28" s="107"/>
      <c r="J28" s="107"/>
    </row>
    <row r="29" spans="1:42" ht="13.5" customHeight="1" thickBot="1" x14ac:dyDescent="0.25">
      <c r="A29" s="101" t="s">
        <v>170</v>
      </c>
      <c r="C29" s="224" t="s">
        <v>155</v>
      </c>
      <c r="D29" s="225"/>
      <c r="E29" s="225"/>
      <c r="F29" s="225"/>
      <c r="G29" s="226"/>
      <c r="H29" s="224" t="s">
        <v>174</v>
      </c>
      <c r="I29" s="225"/>
      <c r="J29" s="225"/>
      <c r="K29" s="225"/>
      <c r="L29" s="226"/>
      <c r="M29" s="218" t="s">
        <v>182</v>
      </c>
      <c r="N29" s="219"/>
      <c r="O29" s="219"/>
      <c r="P29" s="218" t="s">
        <v>183</v>
      </c>
      <c r="Q29" s="219"/>
      <c r="R29" s="219"/>
      <c r="S29" s="218" t="s">
        <v>184</v>
      </c>
      <c r="T29" s="219"/>
      <c r="U29" s="219"/>
      <c r="V29" s="218" t="s">
        <v>184</v>
      </c>
      <c r="W29" s="219"/>
      <c r="X29" s="219"/>
    </row>
    <row r="30" spans="1:42" ht="21" x14ac:dyDescent="0.2">
      <c r="A30" s="100" t="s">
        <v>169</v>
      </c>
      <c r="C30" s="105"/>
      <c r="D30" s="105"/>
      <c r="E30" s="106" t="s">
        <v>165</v>
      </c>
      <c r="F30" s="106" t="s">
        <v>164</v>
      </c>
      <c r="G30" s="106" t="s">
        <v>166</v>
      </c>
      <c r="H30" s="106" t="s">
        <v>99</v>
      </c>
      <c r="I30" s="106" t="s">
        <v>99</v>
      </c>
      <c r="J30" s="106" t="s">
        <v>100</v>
      </c>
      <c r="K30" s="106" t="s">
        <v>100</v>
      </c>
      <c r="L30" s="106" t="s">
        <v>98</v>
      </c>
      <c r="M30" s="106" t="s">
        <v>99</v>
      </c>
      <c r="N30" s="106" t="s">
        <v>100</v>
      </c>
      <c r="O30" s="106" t="s">
        <v>98</v>
      </c>
      <c r="P30" s="113" t="s">
        <v>99</v>
      </c>
      <c r="Q30" s="113" t="s">
        <v>100</v>
      </c>
      <c r="R30" s="113" t="s">
        <v>98</v>
      </c>
      <c r="S30" s="113" t="s">
        <v>99</v>
      </c>
      <c r="T30" s="113" t="s">
        <v>100</v>
      </c>
      <c r="U30" s="113" t="s">
        <v>98</v>
      </c>
      <c r="V30" s="113" t="s">
        <v>99</v>
      </c>
      <c r="W30" s="113" t="s">
        <v>100</v>
      </c>
      <c r="X30" s="113" t="s">
        <v>98</v>
      </c>
      <c r="AA30" s="158" t="s">
        <v>174</v>
      </c>
    </row>
    <row r="31" spans="1:42" x14ac:dyDescent="0.2">
      <c r="C31" s="109" t="s">
        <v>129</v>
      </c>
      <c r="D31" s="109"/>
      <c r="E31" s="109">
        <v>14978</v>
      </c>
      <c r="F31" s="109">
        <v>6086</v>
      </c>
      <c r="G31" s="109">
        <f t="shared" ref="G31:G56" si="16">SUM(E31:F31)</f>
        <v>21064</v>
      </c>
      <c r="H31" s="109"/>
      <c r="I31" s="109"/>
      <c r="J31" s="109"/>
      <c r="K31" s="109"/>
      <c r="L31" s="109"/>
      <c r="M31" s="109">
        <f t="shared" ref="M31:M44" si="17">AVERAGE(G31:I31)</f>
        <v>21064</v>
      </c>
      <c r="N31" s="109">
        <f>AVERAGE(G31*1.1,J31:K31)</f>
        <v>23170.400000000001</v>
      </c>
      <c r="O31" s="109">
        <f>AVERAGE(G31*0.9,L31)</f>
        <v>18957.600000000002</v>
      </c>
      <c r="P31" s="114"/>
      <c r="Q31" s="114"/>
      <c r="R31" s="114"/>
      <c r="S31" s="109"/>
      <c r="T31" s="109"/>
      <c r="U31" s="109"/>
    </row>
    <row r="32" spans="1:42" x14ac:dyDescent="0.2">
      <c r="C32" s="110" t="s">
        <v>130</v>
      </c>
      <c r="D32" s="110"/>
      <c r="E32" s="110">
        <v>24338</v>
      </c>
      <c r="F32" s="110">
        <v>6086</v>
      </c>
      <c r="G32" s="110">
        <f t="shared" si="16"/>
        <v>30424</v>
      </c>
      <c r="H32" s="110"/>
      <c r="I32" s="110"/>
      <c r="J32" s="110"/>
      <c r="K32" s="110"/>
      <c r="L32" s="110"/>
      <c r="M32" s="110">
        <f t="shared" si="17"/>
        <v>30424</v>
      </c>
      <c r="N32" s="110">
        <f t="shared" ref="N32:N57" si="18">AVERAGE(G32*1.1,J32:K32)</f>
        <v>33466.400000000001</v>
      </c>
      <c r="O32" s="110">
        <f t="shared" ref="O32:O57" si="19">AVERAGE(G32*0.9,L32)</f>
        <v>27381.600000000002</v>
      </c>
      <c r="P32" s="115"/>
      <c r="Q32" s="115"/>
      <c r="R32" s="115"/>
      <c r="S32" s="110"/>
      <c r="T32" s="110"/>
      <c r="U32" s="110"/>
    </row>
    <row r="33" spans="3:27" x14ac:dyDescent="0.2">
      <c r="C33" s="110" t="s">
        <v>131</v>
      </c>
      <c r="D33" s="110"/>
      <c r="E33" s="110">
        <v>24338</v>
      </c>
      <c r="F33" s="110">
        <v>6086</v>
      </c>
      <c r="G33" s="110">
        <f t="shared" si="16"/>
        <v>30424</v>
      </c>
      <c r="H33" s="110"/>
      <c r="I33" s="110"/>
      <c r="J33" s="110"/>
      <c r="K33" s="110"/>
      <c r="L33" s="110"/>
      <c r="M33" s="110">
        <f t="shared" si="17"/>
        <v>30424</v>
      </c>
      <c r="N33" s="110">
        <f t="shared" si="18"/>
        <v>33466.400000000001</v>
      </c>
      <c r="O33" s="110">
        <f t="shared" si="19"/>
        <v>27381.600000000002</v>
      </c>
      <c r="P33" s="115"/>
      <c r="Q33" s="115"/>
      <c r="R33" s="115"/>
      <c r="S33" s="110"/>
      <c r="T33" s="110"/>
      <c r="U33" s="110"/>
      <c r="AA33" s="158" t="s">
        <v>203</v>
      </c>
    </row>
    <row r="34" spans="3:27" x14ac:dyDescent="0.2">
      <c r="C34" s="110" t="s">
        <v>132</v>
      </c>
      <c r="D34" s="110"/>
      <c r="E34" s="110">
        <v>26211</v>
      </c>
      <c r="F34" s="110">
        <v>6086</v>
      </c>
      <c r="G34" s="110">
        <f t="shared" si="16"/>
        <v>32297</v>
      </c>
      <c r="H34" s="110"/>
      <c r="I34" s="110"/>
      <c r="J34" s="110"/>
      <c r="K34" s="110"/>
      <c r="L34" s="110"/>
      <c r="M34" s="110">
        <f t="shared" si="17"/>
        <v>32297</v>
      </c>
      <c r="N34" s="110">
        <f t="shared" si="18"/>
        <v>35526.700000000004</v>
      </c>
      <c r="O34" s="110">
        <f t="shared" si="19"/>
        <v>29067.3</v>
      </c>
      <c r="P34" s="115"/>
      <c r="Q34" s="115"/>
      <c r="R34" s="115"/>
      <c r="S34" s="110"/>
      <c r="T34" s="110"/>
      <c r="U34" s="110"/>
    </row>
    <row r="35" spans="3:27" x14ac:dyDescent="0.2">
      <c r="C35" s="110" t="s">
        <v>133</v>
      </c>
      <c r="D35" s="110"/>
      <c r="E35" s="110">
        <v>28083</v>
      </c>
      <c r="F35" s="110">
        <v>6086</v>
      </c>
      <c r="G35" s="110">
        <f t="shared" si="16"/>
        <v>34169</v>
      </c>
      <c r="H35" s="110"/>
      <c r="I35" s="110"/>
      <c r="J35" s="110"/>
      <c r="K35" s="110"/>
      <c r="L35" s="110"/>
      <c r="M35" s="110">
        <f t="shared" si="17"/>
        <v>34169</v>
      </c>
      <c r="N35" s="110">
        <f t="shared" si="18"/>
        <v>37585.9</v>
      </c>
      <c r="O35" s="110">
        <f t="shared" si="19"/>
        <v>30752.100000000002</v>
      </c>
      <c r="P35" s="115"/>
      <c r="Q35" s="115"/>
      <c r="R35" s="115"/>
      <c r="S35" s="110"/>
      <c r="T35" s="110"/>
      <c r="U35" s="110"/>
    </row>
    <row r="36" spans="3:27" x14ac:dyDescent="0.2">
      <c r="C36" s="110" t="s">
        <v>134</v>
      </c>
      <c r="D36" s="110"/>
      <c r="E36" s="110">
        <v>29955</v>
      </c>
      <c r="F36" s="110">
        <v>6086</v>
      </c>
      <c r="G36" s="110">
        <f t="shared" si="16"/>
        <v>36041</v>
      </c>
      <c r="H36" s="110"/>
      <c r="I36" s="110"/>
      <c r="J36" s="110"/>
      <c r="K36" s="110"/>
      <c r="L36" s="110"/>
      <c r="M36" s="110">
        <f t="shared" si="17"/>
        <v>36041</v>
      </c>
      <c r="N36" s="110">
        <f t="shared" si="18"/>
        <v>39645.100000000006</v>
      </c>
      <c r="O36" s="110">
        <f t="shared" si="19"/>
        <v>32436.9</v>
      </c>
      <c r="P36" s="115"/>
      <c r="Q36" s="115"/>
      <c r="R36" s="115"/>
      <c r="S36" s="110"/>
      <c r="T36" s="110"/>
      <c r="U36" s="110"/>
    </row>
    <row r="37" spans="3:27" x14ac:dyDescent="0.2">
      <c r="C37" s="111" t="s">
        <v>135</v>
      </c>
      <c r="D37" s="111"/>
      <c r="E37" s="111">
        <v>14978</v>
      </c>
      <c r="F37" s="111">
        <v>6086</v>
      </c>
      <c r="G37" s="111">
        <f t="shared" si="16"/>
        <v>21064</v>
      </c>
      <c r="H37" s="111"/>
      <c r="I37" s="111"/>
      <c r="J37" s="111"/>
      <c r="K37" s="111"/>
      <c r="L37" s="111"/>
      <c r="M37" s="111">
        <f t="shared" si="17"/>
        <v>21064</v>
      </c>
      <c r="N37" s="111">
        <f t="shared" si="18"/>
        <v>23170.400000000001</v>
      </c>
      <c r="O37" s="111">
        <f>AVERAGE(G37*0.9,L37)</f>
        <v>18957.600000000002</v>
      </c>
      <c r="P37" s="116">
        <f>1-(AVERAGE(AB5:AB7)/AVERAGE($AB$8:$AB$10))</f>
        <v>0.37653778558875217</v>
      </c>
      <c r="Q37" s="116">
        <f>1-(AVERAGE(AC5:AC7)/AVERAGE($AC$8:$AC$10))</f>
        <v>0.38465919878488697</v>
      </c>
      <c r="R37" s="116">
        <f>1-(AVERAGE(AD5:AD7)/AVERAGE($AD$8:$AD$10))</f>
        <v>0.35672514619883033</v>
      </c>
      <c r="S37" s="111">
        <f>SUM(D6:D8)/SUM(D6:D13)*M37</f>
        <v>2117.6357317974011</v>
      </c>
      <c r="T37" s="111">
        <f>SUM(E6:E8)/SUM(E6:E13)*N37</f>
        <v>2735.4010164753909</v>
      </c>
      <c r="U37" s="111">
        <f>SUM(F6:F8)/SUM(F6:F13)*O37</f>
        <v>3875.5006491313611</v>
      </c>
      <c r="V37" s="116">
        <f>SUM(D6:D8)/SUM(D6:D13)*P37</f>
        <v>3.7854627285159995E-2</v>
      </c>
      <c r="W37" s="116">
        <f>SUM(E6:E8)/SUM(E6:E13)*Q37</f>
        <v>4.5411264516486083E-2</v>
      </c>
      <c r="X37" s="116">
        <f>SUM(F6:F8)/SUM(F6:F13)*R37</f>
        <v>7.2925293056876742E-2</v>
      </c>
    </row>
    <row r="38" spans="3:27" x14ac:dyDescent="0.2">
      <c r="C38" s="109" t="s">
        <v>136</v>
      </c>
      <c r="D38" s="109"/>
      <c r="E38" s="109">
        <v>24338</v>
      </c>
      <c r="F38" s="109">
        <v>6086</v>
      </c>
      <c r="G38" s="109">
        <f t="shared" si="16"/>
        <v>30424</v>
      </c>
      <c r="H38" s="109"/>
      <c r="I38" s="109"/>
      <c r="J38" s="109"/>
      <c r="K38" s="109"/>
      <c r="L38" s="109"/>
      <c r="M38" s="109">
        <f t="shared" si="17"/>
        <v>30424</v>
      </c>
      <c r="N38" s="109">
        <f t="shared" si="18"/>
        <v>33466.400000000001</v>
      </c>
      <c r="O38" s="109">
        <f t="shared" si="19"/>
        <v>27381.600000000002</v>
      </c>
      <c r="P38" s="117">
        <f>1-(AVERAGE(AB5:AB7)/AVERAGE($AB$11:$AB$13))</f>
        <v>0.42128964902402399</v>
      </c>
      <c r="Q38" s="117">
        <f>1-(AVERAGE(AC5:AC7)/AVERAGE($AC$11:$AC$13))</f>
        <v>0.43541237538106614</v>
      </c>
      <c r="R38" s="117">
        <f>1-(AVERAGE(AD5:AD7)/AVERAGE($AD$11:$AD$13))</f>
        <v>0.39164922331166674</v>
      </c>
      <c r="S38" s="109">
        <f>SUM(D9)/SUM(D6:D13)*M38</f>
        <v>12698.997364979621</v>
      </c>
      <c r="T38" s="109">
        <f t="shared" ref="T38:U38" si="20">SUM(E9)/SUM(E6:E13)*N38</f>
        <v>12802.047415510126</v>
      </c>
      <c r="U38" s="109">
        <f t="shared" si="20"/>
        <v>9743.1273597783511</v>
      </c>
      <c r="V38" s="117">
        <f>SUM(D9)/SUM(D6:D13)*P38</f>
        <v>0.17584657319383612</v>
      </c>
      <c r="W38" s="117">
        <f>SUM(E9)/SUM(E6:E13)*Q38</f>
        <v>0.1665601879774431</v>
      </c>
      <c r="X38" s="117">
        <f>SUM(F9)/SUM(F6:F13)*R38</f>
        <v>0.13935957953822425</v>
      </c>
    </row>
    <row r="39" spans="3:27" x14ac:dyDescent="0.2">
      <c r="C39" s="111" t="s">
        <v>137</v>
      </c>
      <c r="D39" s="111"/>
      <c r="E39" s="111">
        <v>7489</v>
      </c>
      <c r="F39" s="111">
        <v>5326</v>
      </c>
      <c r="G39" s="111">
        <f t="shared" si="16"/>
        <v>12815</v>
      </c>
      <c r="H39" s="111">
        <v>5200</v>
      </c>
      <c r="I39" s="111"/>
      <c r="J39" s="111"/>
      <c r="K39" s="111"/>
      <c r="L39" s="111"/>
      <c r="M39" s="111">
        <f>AVERAGE(G39:I39)</f>
        <v>9007.5</v>
      </c>
      <c r="N39" s="111">
        <f t="shared" si="18"/>
        <v>14096.500000000002</v>
      </c>
      <c r="O39" s="111">
        <f>AVERAGE(G39*0.9,L39)</f>
        <v>11533.5</v>
      </c>
      <c r="P39" s="116">
        <f>1-(AVERAGE(AB8:AB10)/AVERAGE($AB$11:$AB$13))</f>
        <v>7.1779592092092059E-2</v>
      </c>
      <c r="Q39" s="116">
        <f>1-(AVERAGE(AC8:AC10)/AVERAGE($AC$11:$AC$13))</f>
        <v>8.2479784366576991E-2</v>
      </c>
      <c r="R39" s="116">
        <f>1-(AVERAGE(AD8:AD10)/AVERAGE($AD$11:$AD$13))</f>
        <v>5.4291065329954646E-2</v>
      </c>
      <c r="S39" s="111">
        <f>D9/SUM(D6:D13)*M39</f>
        <v>3759.7363517306708</v>
      </c>
      <c r="T39" s="111">
        <f>E9/SUM(E6:E13)*N39</f>
        <v>5392.3953993479572</v>
      </c>
      <c r="U39" s="111">
        <f>F9/SUM(F6:F13)*O39</f>
        <v>4103.9369285945158</v>
      </c>
      <c r="V39" s="116">
        <f>D9/SUM(D6:D13)*P39</f>
        <v>2.9960848370917337E-2</v>
      </c>
      <c r="W39" s="116">
        <f t="shared" ref="W39:X39" si="21">E9/SUM(E6:E13)*Q39</f>
        <v>3.1551350317989668E-2</v>
      </c>
      <c r="X39" s="116">
        <f t="shared" si="21"/>
        <v>1.931825620152931E-2</v>
      </c>
    </row>
    <row r="40" spans="3:27" x14ac:dyDescent="0.2">
      <c r="C40" s="110" t="s">
        <v>138</v>
      </c>
      <c r="D40" s="110"/>
      <c r="E40" s="110">
        <v>24338</v>
      </c>
      <c r="F40" s="110">
        <v>6086</v>
      </c>
      <c r="G40" s="110">
        <f t="shared" si="16"/>
        <v>30424</v>
      </c>
      <c r="H40" s="110"/>
      <c r="I40" s="110"/>
      <c r="J40" s="110"/>
      <c r="K40" s="110"/>
      <c r="L40" s="110"/>
      <c r="M40" s="110">
        <f t="shared" si="17"/>
        <v>30424</v>
      </c>
      <c r="N40" s="110">
        <f t="shared" si="18"/>
        <v>33466.400000000001</v>
      </c>
      <c r="O40" s="110">
        <f t="shared" si="19"/>
        <v>27381.600000000002</v>
      </c>
      <c r="P40" s="118">
        <f>1-(AVERAGE(AB5:AB7)/AVERAGE($AB$14:$AB$15))</f>
        <v>0.62274615839243497</v>
      </c>
      <c r="Q40" s="118">
        <f>1-(AVERAGE(AC5:AC7)/AVERAGE($AC$14:$AC$15))</f>
        <v>0.63238897979724307</v>
      </c>
      <c r="R40" s="118">
        <f>1-(AVERAGE(AD5:AD7)/AVERAGE($AD$14:$AD$15))</f>
        <v>0.59252763605442182</v>
      </c>
      <c r="S40" s="109">
        <f>SUM(D10)/SUM(D6:D13)*M40</f>
        <v>7607.1423204773337</v>
      </c>
      <c r="T40" s="109">
        <f>SUM(E10)/SUM(E6:E13)*N40</f>
        <v>8074.0897401398215</v>
      </c>
      <c r="U40" s="109">
        <f>SUM(F10)/SUM(F6:F13)*O40</f>
        <v>6501.7332478818789</v>
      </c>
      <c r="V40" s="117">
        <f>SUM(D10)/SUM(D6:D13)*P40</f>
        <v>0.15570992165467307</v>
      </c>
      <c r="W40" s="117">
        <f>SUM(E10)/SUM(E6:E13)*Q40</f>
        <v>0.15256990215734015</v>
      </c>
      <c r="X40" s="117">
        <f>SUM(F10)/SUM(F6:F13)*R40</f>
        <v>0.14069508836678235</v>
      </c>
    </row>
    <row r="41" spans="3:27" x14ac:dyDescent="0.2">
      <c r="C41" s="109" t="s">
        <v>139</v>
      </c>
      <c r="D41" s="109"/>
      <c r="E41" s="109">
        <v>7489</v>
      </c>
      <c r="F41" s="109">
        <v>5326</v>
      </c>
      <c r="G41" s="109">
        <f t="shared" si="16"/>
        <v>12815</v>
      </c>
      <c r="H41" s="109"/>
      <c r="I41" s="109"/>
      <c r="J41" s="109"/>
      <c r="K41" s="109"/>
      <c r="L41" s="109"/>
      <c r="M41" s="109">
        <f t="shared" si="17"/>
        <v>12815</v>
      </c>
      <c r="N41" s="109">
        <f t="shared" si="18"/>
        <v>14096.500000000002</v>
      </c>
      <c r="O41" s="109">
        <f>AVERAGE(G41*0.9,L41)</f>
        <v>11533.5</v>
      </c>
      <c r="P41" s="117">
        <f>1-(AVERAGE(AB8:AB10)/AVERAGE($AB$14:$AB$15))</f>
        <v>0.39490504334121357</v>
      </c>
      <c r="Q41" s="117">
        <f>1-(AVERAGE(AC8:AC10)/AVERAGE($AC$14:$AC$15))</f>
        <v>0.40258955772665206</v>
      </c>
      <c r="R41" s="117">
        <f>1-(AVERAGE(AD8:AD10)/AVERAGE($AD$14:$AD$15))</f>
        <v>0.36656568877551032</v>
      </c>
      <c r="S41" s="109">
        <f>SUM(D10)/SUM(D6:D13)*M41</f>
        <v>3204.2311608242517</v>
      </c>
      <c r="T41" s="109">
        <f t="shared" ref="T41:U41" si="22">SUM(E10)/SUM(E6:E13)*N41</f>
        <v>3400.915725081903</v>
      </c>
      <c r="U41" s="109">
        <f t="shared" si="22"/>
        <v>2738.6179191298406</v>
      </c>
      <c r="V41" s="117">
        <f>SUM(D10)/SUM(D6:D13)*P41</f>
        <v>9.8741088212295602E-2</v>
      </c>
      <c r="W41" s="117">
        <f t="shared" ref="W41:X41" si="23">SUM(E10)/SUM(E6:E13)*Q41</f>
        <v>9.7128589197768192E-2</v>
      </c>
      <c r="X41" s="117">
        <f t="shared" si="23"/>
        <v>8.704065234480296E-2</v>
      </c>
    </row>
    <row r="42" spans="3:27" x14ac:dyDescent="0.2">
      <c r="C42" s="111" t="s">
        <v>140</v>
      </c>
      <c r="D42" s="111"/>
      <c r="E42" s="111">
        <v>3744</v>
      </c>
      <c r="F42" s="111">
        <v>4565</v>
      </c>
      <c r="G42" s="111">
        <f t="shared" si="16"/>
        <v>8309</v>
      </c>
      <c r="H42" s="111">
        <v>5000</v>
      </c>
      <c r="I42" s="111">
        <v>9300</v>
      </c>
      <c r="J42" s="111">
        <v>30000</v>
      </c>
      <c r="K42" s="111"/>
      <c r="L42" s="111"/>
      <c r="M42" s="111">
        <f t="shared" si="17"/>
        <v>7536.333333333333</v>
      </c>
      <c r="N42" s="111">
        <f t="shared" si="18"/>
        <v>19569.95</v>
      </c>
      <c r="O42" s="111">
        <f t="shared" si="19"/>
        <v>7478.1</v>
      </c>
      <c r="P42" s="116">
        <f>1-(AVERAGE(AB11:AB13)/AVERAGE($AB$14:$AB$15))</f>
        <v>0.34811284959507149</v>
      </c>
      <c r="Q42" s="116">
        <f>1-(AVERAGE(AC11:AC13)/AVERAGE($AC$14:$AC$15))</f>
        <v>0.34888579881488802</v>
      </c>
      <c r="R42" s="116">
        <f>1-(AVERAGE(AD11:AD13)/AVERAGE($AD$14:$AD$15))</f>
        <v>0.33020162123614405</v>
      </c>
      <c r="S42" s="111">
        <f>D10/SUM(D6:D13)*M42</f>
        <v>1884.366297699974</v>
      </c>
      <c r="T42" s="111">
        <f>E10/SUM(E6:E13)*N42</f>
        <v>4721.437994826133</v>
      </c>
      <c r="U42" s="111">
        <f>F10/SUM(F6:F13)*O42</f>
        <v>1775.6672875575377</v>
      </c>
      <c r="V42" s="116">
        <f>D10/SUM(D6:D13)*P42</f>
        <v>8.7041282883796645E-2</v>
      </c>
      <c r="W42" s="116">
        <f t="shared" ref="W42:X42" si="24">E10/SUM(E6:E13)*Q42</f>
        <v>8.4172042666428804E-2</v>
      </c>
      <c r="X42" s="116">
        <f t="shared" si="24"/>
        <v>7.8406041257469861E-2</v>
      </c>
    </row>
    <row r="43" spans="3:27" x14ac:dyDescent="0.2">
      <c r="C43" s="110" t="s">
        <v>141</v>
      </c>
      <c r="D43" s="110"/>
      <c r="E43" s="110">
        <v>26211</v>
      </c>
      <c r="F43" s="110">
        <v>6086</v>
      </c>
      <c r="G43" s="110">
        <f t="shared" si="16"/>
        <v>32297</v>
      </c>
      <c r="H43" s="110"/>
      <c r="I43" s="110"/>
      <c r="J43" s="110"/>
      <c r="K43" s="110"/>
      <c r="L43" s="110"/>
      <c r="M43" s="110">
        <f t="shared" si="17"/>
        <v>32297</v>
      </c>
      <c r="N43" s="110">
        <f t="shared" si="18"/>
        <v>35526.700000000004</v>
      </c>
      <c r="O43" s="110">
        <f t="shared" si="19"/>
        <v>29067.3</v>
      </c>
      <c r="P43" s="118">
        <f>1-(AVERAGE(AB5:AB7)/AVERAGE($AB$16:$AB$17))</f>
        <v>0.72048950572088954</v>
      </c>
      <c r="Q43" s="118">
        <f>1-(AVERAGE(AC5:AC7)/AVERAGE($AC$16:$AC$17))</f>
        <v>0.72567185426004643</v>
      </c>
      <c r="R43" s="118">
        <f>1-(AVERAGE(AD5:AD7)/AVERAGE($AD$16:$AD$17))</f>
        <v>0.70737083673038015</v>
      </c>
      <c r="S43" s="109">
        <f>SUM(D$11)/SUM(D$6:D$13)*M43</f>
        <v>3936.5250062557898</v>
      </c>
      <c r="T43" s="109">
        <f t="shared" ref="T43" si="25">SUM(E$11)/SUM(E$6:E$13)*N43</f>
        <v>3841.3134875326136</v>
      </c>
      <c r="U43" s="109">
        <f t="shared" ref="U43" si="26">SUM(F$11)/SUM(F$6:F$13)*O43</f>
        <v>3457.5779313996768</v>
      </c>
      <c r="V43" s="117">
        <f>SUM(D$11)/SUM(D$6:D$13)*P43</f>
        <v>8.7816978543367979E-2</v>
      </c>
      <c r="W43" s="117">
        <f t="shared" ref="W43" si="27">SUM(E$11)/SUM(E$6:E$13)*Q43</f>
        <v>7.8463045576761065E-2</v>
      </c>
      <c r="X43" s="117">
        <f t="shared" ref="X43" si="28">SUM(F$11)/SUM(F$6:F$13)*R43</f>
        <v>8.4142310926528657E-2</v>
      </c>
    </row>
    <row r="44" spans="3:27" x14ac:dyDescent="0.2">
      <c r="C44" s="109" t="s">
        <v>142</v>
      </c>
      <c r="D44" s="109"/>
      <c r="E44" s="109">
        <v>14978</v>
      </c>
      <c r="F44" s="109">
        <v>5326</v>
      </c>
      <c r="G44" s="109">
        <f t="shared" si="16"/>
        <v>20304</v>
      </c>
      <c r="H44" s="109"/>
      <c r="I44" s="109"/>
      <c r="J44" s="109"/>
      <c r="K44" s="109"/>
      <c r="L44" s="109"/>
      <c r="M44" s="109">
        <f t="shared" si="17"/>
        <v>20304</v>
      </c>
      <c r="N44" s="109">
        <f t="shared" si="18"/>
        <v>22334.400000000001</v>
      </c>
      <c r="O44" s="109">
        <f t="shared" si="19"/>
        <v>18273.600000000002</v>
      </c>
      <c r="P44" s="117">
        <f>1-(AVERAGE(AB8:AB10)/AVERAGE($AB$16:$AB$17))</f>
        <v>0.55168013743533795</v>
      </c>
      <c r="Q44" s="117">
        <f>1-(AVERAGE(AC8:AC10)/AVERAGE($AC$16:$AC$17))</f>
        <v>0.55418502202643172</v>
      </c>
      <c r="R44" s="117">
        <f>1-(AVERAGE(AD8:AD10)/AVERAGE($AD$16:$AD$17))</f>
        <v>0.5450946643717729</v>
      </c>
      <c r="S44" s="109">
        <f>SUM(D$11)/SUM(D$6:D$13)*M44</f>
        <v>2474.756284701909</v>
      </c>
      <c r="T44" s="109">
        <f t="shared" ref="T44:U44" si="29">SUM(E$11)/SUM(E$6:E$13)*N44</f>
        <v>2414.9001161365509</v>
      </c>
      <c r="U44" s="109">
        <f t="shared" si="29"/>
        <v>2173.6589255701474</v>
      </c>
      <c r="V44" s="117">
        <f>SUM(D$11)/SUM(D$6:D$13)*P44</f>
        <v>6.7241621713126254E-2</v>
      </c>
      <c r="W44" s="117">
        <f t="shared" ref="W44:X44" si="30">SUM(E$11)/SUM(E$6:E$13)*Q44</f>
        <v>5.9921084696824937E-2</v>
      </c>
      <c r="X44" s="117">
        <f t="shared" si="30"/>
        <v>6.483943407387531E-2</v>
      </c>
    </row>
    <row r="45" spans="3:27" x14ac:dyDescent="0.2">
      <c r="C45" s="110" t="s">
        <v>143</v>
      </c>
      <c r="D45" s="110"/>
      <c r="E45" s="110">
        <v>9361</v>
      </c>
      <c r="F45" s="110">
        <v>4565</v>
      </c>
      <c r="G45" s="110">
        <f t="shared" si="16"/>
        <v>13926</v>
      </c>
      <c r="H45" s="110">
        <f>H46+12600</f>
        <v>24800</v>
      </c>
      <c r="I45" s="110"/>
      <c r="J45" s="110"/>
      <c r="K45" s="110">
        <v>15500</v>
      </c>
      <c r="L45" s="110"/>
      <c r="M45" s="110">
        <f t="shared" ref="M45:M57" si="31">AVERAGE(G45:I45)</f>
        <v>19363</v>
      </c>
      <c r="N45" s="110">
        <f t="shared" si="18"/>
        <v>15409.3</v>
      </c>
      <c r="O45" s="110">
        <f t="shared" si="19"/>
        <v>12533.4</v>
      </c>
      <c r="P45" s="118">
        <f>1-(AVERAGE(AB11:AB13)/AVERAGE($AB$16:$AB$17))</f>
        <v>0.51701141372756654</v>
      </c>
      <c r="Q45" s="118">
        <f>1-(AVERAGE(AC11:AC13)/AVERAGE($AC$16:$AC$17))</f>
        <v>0.51410882247886636</v>
      </c>
      <c r="R45" s="118">
        <f>1-(AVERAGE(AD11:AD13)/AVERAGE($AD$16:$AD$17))</f>
        <v>0.51897955179312949</v>
      </c>
      <c r="S45" s="109">
        <f>SUM(D$11)/SUM(D$6:D$13)*M45</f>
        <v>2360.062349324422</v>
      </c>
      <c r="T45" s="109">
        <f t="shared" ref="T45" si="32">SUM(E$11)/SUM(E$6:E$13)*N45</f>
        <v>1666.125813076821</v>
      </c>
      <c r="U45" s="109">
        <f t="shared" ref="U45" si="33">SUM(F$11)/SUM(F$6:F$13)*O45</f>
        <v>1490.8576732412268</v>
      </c>
      <c r="V45" s="117">
        <f>SUM(D$11)/SUM(D$6:D$13)*P45</f>
        <v>6.3016018783732961E-2</v>
      </c>
      <c r="W45" s="117">
        <f t="shared" ref="W45" si="34">SUM(E$11)/SUM(E$6:E$13)*Q45</f>
        <v>5.5587857972949344E-2</v>
      </c>
      <c r="X45" s="117">
        <f t="shared" ref="X45" si="35">SUM(F$11)/SUM(F$6:F$13)*R45</f>
        <v>6.1733021131223753E-2</v>
      </c>
    </row>
    <row r="46" spans="3:27" x14ac:dyDescent="0.2">
      <c r="C46" s="111" t="s">
        <v>144</v>
      </c>
      <c r="D46" s="111"/>
      <c r="E46" s="111">
        <v>9361</v>
      </c>
      <c r="F46" s="111">
        <v>3804</v>
      </c>
      <c r="G46" s="111">
        <f t="shared" si="16"/>
        <v>13165</v>
      </c>
      <c r="H46" s="111">
        <v>12200</v>
      </c>
      <c r="I46" s="111"/>
      <c r="J46" s="111">
        <v>14000</v>
      </c>
      <c r="K46" s="111">
        <v>2000</v>
      </c>
      <c r="L46" s="111"/>
      <c r="M46" s="111">
        <f t="shared" si="31"/>
        <v>12682.5</v>
      </c>
      <c r="N46" s="111">
        <f t="shared" si="18"/>
        <v>10160.5</v>
      </c>
      <c r="O46" s="111">
        <f t="shared" si="19"/>
        <v>11848.5</v>
      </c>
      <c r="P46" s="116">
        <f>1-(AVERAGE(AB14:AB15)/AVERAGE($AB$16:$AB$17))</f>
        <v>0.25909172166928174</v>
      </c>
      <c r="Q46" s="116">
        <f>1-(AVERAGE(AC14:AC15)/AVERAGE($AC$16:$AC$17))</f>
        <v>0.25375429281568596</v>
      </c>
      <c r="R46" s="116">
        <f>1-(AVERAGE(AD14:AD15)/AVERAGE($AD$16:$AD$17))</f>
        <v>0.28184291951465146</v>
      </c>
      <c r="S46" s="111">
        <f>D11/SUM(D6:D13)*M46</f>
        <v>1545.8085392401479</v>
      </c>
      <c r="T46" s="111">
        <f>E11/SUM(E6:E13)*N46</f>
        <v>1098.6009308513067</v>
      </c>
      <c r="U46" s="111">
        <f>F11/SUM(F6:F13)*O46</f>
        <v>1409.3882858122038</v>
      </c>
      <c r="V46" s="116">
        <f>D11/SUM(D6:D13)*P46</f>
        <v>3.1579435900083372E-2</v>
      </c>
      <c r="W46" s="116">
        <f t="shared" ref="W46:X46" si="36">E11/SUM(E6:E13)*Q46</f>
        <v>2.7437104699062805E-2</v>
      </c>
      <c r="X46" s="116">
        <f t="shared" si="36"/>
        <v>3.3525434375917755E-2</v>
      </c>
    </row>
    <row r="47" spans="3:27" x14ac:dyDescent="0.2">
      <c r="C47" s="110" t="s">
        <v>145</v>
      </c>
      <c r="D47" s="110"/>
      <c r="E47" s="110">
        <v>28083</v>
      </c>
      <c r="F47" s="110">
        <v>6086</v>
      </c>
      <c r="G47" s="110">
        <f t="shared" si="16"/>
        <v>34169</v>
      </c>
      <c r="H47" s="110"/>
      <c r="I47" s="110"/>
      <c r="J47" s="110"/>
      <c r="K47" s="110"/>
      <c r="L47" s="110"/>
      <c r="M47" s="110">
        <f t="shared" si="31"/>
        <v>34169</v>
      </c>
      <c r="N47" s="110">
        <f t="shared" si="18"/>
        <v>37585.9</v>
      </c>
      <c r="O47" s="110">
        <f t="shared" si="19"/>
        <v>30752.100000000002</v>
      </c>
      <c r="P47" s="118">
        <f>1-(AVERAGE(AB5:AB7)/$AB$18)</f>
        <v>0.7842125554199062</v>
      </c>
      <c r="Q47" s="118">
        <f>1-(AVERAGE(AC5:AC7)/$AC$18)</f>
        <v>0.78572817895429459</v>
      </c>
      <c r="R47" s="118">
        <f>1-(AVERAGE(AD5:AD7)/$AD$18)</f>
        <v>0.77453416149068322</v>
      </c>
      <c r="S47" s="109">
        <f>SUM(D$12)/SUM(D$6:D$13)*M47</f>
        <v>1874.0661821934323</v>
      </c>
      <c r="T47" s="109">
        <f t="shared" ref="T47" si="37">SUM(E$12)/SUM(E$6:E$13)*N47</f>
        <v>2029.2833787232948</v>
      </c>
      <c r="U47" s="109">
        <f t="shared" ref="U47" si="38">SUM(F$12)/SUM(F$6:F$13)*O47</f>
        <v>1231.7171082475254</v>
      </c>
      <c r="V47" s="117">
        <f>SUM(D$12)/SUM(D$6:D$13)*P47</f>
        <v>4.3011683975648654E-2</v>
      </c>
      <c r="W47" s="117">
        <f t="shared" ref="W47" si="39">SUM(E$12)/SUM(E$6:E$13)*Q47</f>
        <v>4.2421895810569189E-2</v>
      </c>
      <c r="X47" s="117">
        <f t="shared" ref="X47" si="40">SUM(F$12)/SUM(F$6:F$13)*R47</f>
        <v>3.1022498549049531E-2</v>
      </c>
    </row>
    <row r="48" spans="3:27" x14ac:dyDescent="0.2">
      <c r="C48" s="109" t="s">
        <v>146</v>
      </c>
      <c r="D48" s="109"/>
      <c r="E48" s="109">
        <v>16850</v>
      </c>
      <c r="F48" s="109">
        <v>5326</v>
      </c>
      <c r="G48" s="109">
        <f t="shared" si="16"/>
        <v>22176</v>
      </c>
      <c r="H48" s="109"/>
      <c r="I48" s="109"/>
      <c r="J48" s="109"/>
      <c r="K48" s="109"/>
      <c r="L48" s="109"/>
      <c r="M48" s="109">
        <f t="shared" si="31"/>
        <v>22176</v>
      </c>
      <c r="N48" s="109">
        <f t="shared" si="18"/>
        <v>24393.600000000002</v>
      </c>
      <c r="O48" s="109">
        <f t="shared" si="19"/>
        <v>19958.400000000001</v>
      </c>
      <c r="P48" s="117">
        <f>1-(AVERAGE(AB8:AB10)/$AB$18)</f>
        <v>0.65388849621966627</v>
      </c>
      <c r="Q48" s="117">
        <f>1-(AVERAGE(AC8:AC10)/$AC$18)</f>
        <v>0.65178349847339401</v>
      </c>
      <c r="R48" s="117">
        <f>1-(AVERAGE(AD8:AD10)/$AD$18)</f>
        <v>0.64950310559006208</v>
      </c>
      <c r="S48" s="109">
        <f>SUM(D$12)/SUM(D$6:D$13)*M48</f>
        <v>1216.2864484275674</v>
      </c>
      <c r="T48" s="109">
        <f t="shared" ref="T48:U48" si="41">SUM(E$12)/SUM(E$6:E$13)*N48</f>
        <v>1317.0238580750911</v>
      </c>
      <c r="U48" s="109">
        <f t="shared" si="41"/>
        <v>799.39590249925732</v>
      </c>
      <c r="V48" s="117">
        <f>SUM(D$12)/SUM(D$6:D$13)*P48</f>
        <v>3.5863803965307577E-2</v>
      </c>
      <c r="W48" s="117">
        <f t="shared" ref="W48:X48" si="42">SUM(E$12)/SUM(E$6:E$13)*Q48</f>
        <v>3.5190148964855929E-2</v>
      </c>
      <c r="X48" s="117">
        <f t="shared" si="42"/>
        <v>2.6014616465710582E-2</v>
      </c>
    </row>
    <row r="49" spans="3:24" x14ac:dyDescent="0.2">
      <c r="C49" s="110" t="s">
        <v>147</v>
      </c>
      <c r="D49" s="110"/>
      <c r="E49" s="110">
        <v>11233</v>
      </c>
      <c r="F49" s="110">
        <v>4565</v>
      </c>
      <c r="G49" s="110">
        <f t="shared" si="16"/>
        <v>15798</v>
      </c>
      <c r="H49" s="110">
        <v>11000</v>
      </c>
      <c r="I49" s="110"/>
      <c r="J49" s="110">
        <f>J50+16375</f>
        <v>35375</v>
      </c>
      <c r="K49" s="110"/>
      <c r="L49" s="110"/>
      <c r="M49" s="110">
        <f t="shared" si="31"/>
        <v>13399</v>
      </c>
      <c r="N49" s="110">
        <f t="shared" si="18"/>
        <v>26376.400000000001</v>
      </c>
      <c r="O49" s="110">
        <f t="shared" si="19"/>
        <v>14218.2</v>
      </c>
      <c r="P49" s="118">
        <f>1-(AVERAGE(AB11:AB13)/$AB$18)</f>
        <v>0.62712357880557112</v>
      </c>
      <c r="Q49" s="118">
        <f>1-(AVERAGE(AC11:AC13)/$AC$18)</f>
        <v>0.62048083999303505</v>
      </c>
      <c r="R49" s="118">
        <f>1-(AVERAGE(AD11:AD13)/$AD$18)</f>
        <v>0.62938185147608328</v>
      </c>
      <c r="S49" s="109">
        <f>SUM(D$12)/SUM(D$6:D$13)*M49</f>
        <v>734.8945762302028</v>
      </c>
      <c r="T49" s="109">
        <f t="shared" ref="T49:T50" si="43">SUM(E$12)/SUM(E$6:E$13)*N49</f>
        <v>1424.076318793939</v>
      </c>
      <c r="U49" s="109">
        <f t="shared" ref="U49:U50" si="44">SUM(F$12)/SUM(F$6:F$13)*O49</f>
        <v>569.48306582265809</v>
      </c>
      <c r="V49" s="117">
        <f>SUM(D$12)/SUM(D$6:D$13)*P49</f>
        <v>3.4395829292506036E-2</v>
      </c>
      <c r="W49" s="117">
        <f t="shared" ref="W49:W50" si="45">SUM(E$12)/SUM(E$6:E$13)*Q49</f>
        <v>3.3500101245789886E-2</v>
      </c>
      <c r="X49" s="117">
        <f t="shared" ref="X49:X50" si="46">SUM(F$12)/SUM(F$6:F$13)*R49</f>
        <v>2.5208697750189246E-2</v>
      </c>
    </row>
    <row r="50" spans="3:24" x14ac:dyDescent="0.2">
      <c r="C50" s="110" t="s">
        <v>148</v>
      </c>
      <c r="D50" s="110"/>
      <c r="E50" s="110">
        <v>7489</v>
      </c>
      <c r="F50" s="110">
        <v>3804</v>
      </c>
      <c r="G50" s="110">
        <f t="shared" si="16"/>
        <v>11293</v>
      </c>
      <c r="H50" s="110">
        <v>9000</v>
      </c>
      <c r="I50" s="110"/>
      <c r="J50" s="110">
        <v>19000</v>
      </c>
      <c r="K50" s="110"/>
      <c r="L50" s="110"/>
      <c r="M50" s="110">
        <f t="shared" si="31"/>
        <v>10146.5</v>
      </c>
      <c r="N50" s="110">
        <f t="shared" si="18"/>
        <v>15711.150000000001</v>
      </c>
      <c r="O50" s="110">
        <f t="shared" si="19"/>
        <v>10163.700000000001</v>
      </c>
      <c r="P50" s="118">
        <f>1-(AVERAGE(AB14:AB15)/$AB$18)</f>
        <v>0.42800464625999812</v>
      </c>
      <c r="Q50" s="118">
        <f>1-(AVERAGE(AC14:AC15)/$AC$18)</f>
        <v>0.41712351025950434</v>
      </c>
      <c r="R50" s="118">
        <f>1-(AVERAGE(AD14:AD15)/$AD$18)</f>
        <v>0.44667207285883592</v>
      </c>
      <c r="S50" s="109">
        <f>SUM(D$12)/SUM(D$6:D$13)*M50</f>
        <v>556.50480018805524</v>
      </c>
      <c r="T50" s="109">
        <f t="shared" si="43"/>
        <v>848.25361520220338</v>
      </c>
      <c r="U50" s="109">
        <f t="shared" si="44"/>
        <v>407.08774922998344</v>
      </c>
      <c r="V50" s="117">
        <f>SUM(D$12)/SUM(D$6:D$13)*P50</f>
        <v>2.3474758798253538E-2</v>
      </c>
      <c r="W50" s="117">
        <f t="shared" si="45"/>
        <v>2.2520727353723811E-2</v>
      </c>
      <c r="X50" s="117">
        <f t="shared" si="46"/>
        <v>1.7890603695897622E-2</v>
      </c>
    </row>
    <row r="51" spans="3:24" x14ac:dyDescent="0.2">
      <c r="C51" s="111" t="s">
        <v>149</v>
      </c>
      <c r="D51" s="111"/>
      <c r="E51" s="111">
        <v>5617</v>
      </c>
      <c r="F51" s="111">
        <v>3043</v>
      </c>
      <c r="G51" s="111">
        <f t="shared" si="16"/>
        <v>8660</v>
      </c>
      <c r="H51" s="111">
        <v>1000</v>
      </c>
      <c r="I51" s="111"/>
      <c r="J51" s="111"/>
      <c r="K51" s="111"/>
      <c r="L51" s="111"/>
      <c r="M51" s="111">
        <f t="shared" si="31"/>
        <v>4830</v>
      </c>
      <c r="N51" s="111">
        <f t="shared" si="18"/>
        <v>9526</v>
      </c>
      <c r="O51" s="111">
        <f t="shared" si="19"/>
        <v>7794</v>
      </c>
      <c r="P51" s="116">
        <f>1-(AVERAGE(AB16:AB17)/$AB$18)</f>
        <v>0.2279808844507456</v>
      </c>
      <c r="Q51" s="116">
        <f>1-(AVERAGE(AC16:AC17)/$AC$18)</f>
        <v>0.21892148372984621</v>
      </c>
      <c r="R51" s="116">
        <f>1-(AVERAGE(AD16:AD17)/$AD$18)</f>
        <v>0.22951685337807815</v>
      </c>
      <c r="S51" s="111">
        <f>D12/SUM(D6:D13)*M51</f>
        <v>264.91087418403458</v>
      </c>
      <c r="T51" s="111">
        <f>E12/SUM(E6:E13)*N51</f>
        <v>514.31397055060825</v>
      </c>
      <c r="U51" s="111">
        <f>F12/SUM(F6:F13)*O51</f>
        <v>312.17390492620706</v>
      </c>
      <c r="V51" s="116">
        <f>D12/SUM(D6:D13)*P51</f>
        <v>1.2504061158819128E-2</v>
      </c>
      <c r="W51" s="116">
        <f t="shared" ref="W51:X51" si="47">E12/SUM(E6:E13)*Q51</f>
        <v>1.1819691112316563E-2</v>
      </c>
      <c r="X51" s="116">
        <f t="shared" si="47"/>
        <v>9.1928627617924516E-3</v>
      </c>
    </row>
    <row r="52" spans="3:24" x14ac:dyDescent="0.2">
      <c r="C52" s="110" t="s">
        <v>150</v>
      </c>
      <c r="D52" s="110"/>
      <c r="E52" s="110">
        <v>29955</v>
      </c>
      <c r="F52" s="110">
        <v>6086</v>
      </c>
      <c r="G52" s="110">
        <f t="shared" si="16"/>
        <v>36041</v>
      </c>
      <c r="H52" s="110"/>
      <c r="I52" s="110"/>
      <c r="J52" s="110"/>
      <c r="K52" s="110"/>
      <c r="L52" s="110"/>
      <c r="M52" s="110">
        <f t="shared" si="31"/>
        <v>36041</v>
      </c>
      <c r="N52" s="110">
        <f t="shared" si="18"/>
        <v>39645.100000000006</v>
      </c>
      <c r="O52" s="110">
        <f t="shared" si="19"/>
        <v>32436.9</v>
      </c>
      <c r="P52" s="118">
        <f>1-(AVERAGE(AB5:AB7)/$AB$19)</f>
        <v>0.7811838232063617</v>
      </c>
      <c r="Q52" s="118">
        <f>1-(AVERAGE(AC5:AC7)/$AC$19)</f>
        <v>0.78546190139049687</v>
      </c>
      <c r="R52" s="118">
        <f>1-(AVERAGE(AD5:AD7)/$AD$19)</f>
        <v>0.78259796027911965</v>
      </c>
      <c r="S52" s="109"/>
      <c r="T52" s="109"/>
      <c r="U52" s="109"/>
      <c r="V52" s="117"/>
      <c r="W52" s="117"/>
      <c r="X52" s="117"/>
    </row>
    <row r="53" spans="3:24" x14ac:dyDescent="0.2">
      <c r="C53" s="109" t="s">
        <v>151</v>
      </c>
      <c r="D53" s="109"/>
      <c r="E53" s="109">
        <v>16850</v>
      </c>
      <c r="F53" s="109">
        <v>5326</v>
      </c>
      <c r="G53" s="109">
        <f t="shared" si="16"/>
        <v>22176</v>
      </c>
      <c r="H53" s="109"/>
      <c r="I53" s="109"/>
      <c r="J53" s="109"/>
      <c r="K53" s="109"/>
      <c r="L53" s="109"/>
      <c r="M53" s="109">
        <f t="shared" si="31"/>
        <v>22176</v>
      </c>
      <c r="N53" s="109">
        <f t="shared" si="18"/>
        <v>24393.600000000002</v>
      </c>
      <c r="O53" s="109">
        <f t="shared" si="19"/>
        <v>19958.400000000001</v>
      </c>
      <c r="P53" s="117">
        <f>1-(AVERAGE(AB8:AB10)/$AB$19)</f>
        <v>0.64903057196453795</v>
      </c>
      <c r="Q53" s="117">
        <f>1-(AVERAGE(AC8:AC10)/$AC$19)</f>
        <v>0.6513507666225693</v>
      </c>
      <c r="R53" s="117">
        <f>1-(AVERAGE(AD8:AD10)/$AD$19)</f>
        <v>0.66203864734299511</v>
      </c>
      <c r="S53" s="109">
        <f>SUM(D$13)/SUM(D$6:D$13)*M48</f>
        <v>1226.2499228219867</v>
      </c>
      <c r="T53" s="109">
        <f t="shared" ref="T53:U53" si="48">SUM(E$13)/SUM(E$6:E$13)*N48</f>
        <v>2342.6391476293584</v>
      </c>
      <c r="U53" s="109">
        <f t="shared" si="48"/>
        <v>863.9925119853832</v>
      </c>
      <c r="V53" s="117">
        <f>SUM(D$13)/SUM(D$6:D$13)*P53</f>
        <v>3.5888965042416329E-2</v>
      </c>
      <c r="W53" s="117">
        <f t="shared" ref="W53:X53" si="49">SUM(E$13)/SUM(E$6:E$13)*Q53</f>
        <v>6.2552464774712421E-2</v>
      </c>
      <c r="X53" s="117">
        <f t="shared" si="49"/>
        <v>2.8659433318767014E-2</v>
      </c>
    </row>
    <row r="54" spans="3:24" x14ac:dyDescent="0.2">
      <c r="C54" s="110" t="s">
        <v>152</v>
      </c>
      <c r="D54" s="110"/>
      <c r="E54" s="110">
        <v>11233</v>
      </c>
      <c r="F54" s="110">
        <v>4565</v>
      </c>
      <c r="G54" s="110">
        <f t="shared" si="16"/>
        <v>15798</v>
      </c>
      <c r="H54" s="110"/>
      <c r="I54" s="110">
        <v>23500</v>
      </c>
      <c r="J54" s="110"/>
      <c r="K54" s="110"/>
      <c r="L54" s="110">
        <v>8100</v>
      </c>
      <c r="M54" s="110">
        <f t="shared" si="31"/>
        <v>19649</v>
      </c>
      <c r="N54" s="110">
        <f t="shared" si="18"/>
        <v>17377.800000000003</v>
      </c>
      <c r="O54" s="110">
        <f t="shared" si="19"/>
        <v>11159.1</v>
      </c>
      <c r="P54" s="118">
        <f>1-(AVERAGE(AB11:AB13)/$AB$19)</f>
        <v>0.6218899896561173</v>
      </c>
      <c r="Q54" s="118">
        <f>1-(AVERAGE(AC11:AC13)/$AC$19)</f>
        <v>0.62000920804046178</v>
      </c>
      <c r="R54" s="118">
        <f>1-(AVERAGE(AD11:AD13)/$AD$19)</f>
        <v>0.64263703104917957</v>
      </c>
      <c r="S54" s="109">
        <f>SUM(D$13)/SUM(D$6:D$13)*M49</f>
        <v>740.9146246343704</v>
      </c>
      <c r="T54" s="109">
        <f t="shared" ref="T54:T56" si="50">SUM(E$13)/SUM(E$6:E$13)*N49</f>
        <v>2533.0573270665668</v>
      </c>
      <c r="U54" s="109">
        <f t="shared" ref="U54:U56" si="51">SUM(F$13)/SUM(F$6:F$13)*O49</f>
        <v>615.50115910647025</v>
      </c>
      <c r="V54" s="117">
        <f t="shared" ref="V54:V56" si="52">SUM(D$13)/SUM(D$6:D$13)*P54</f>
        <v>3.438819227180645E-2</v>
      </c>
      <c r="W54" s="117">
        <f t="shared" ref="W54:W56" si="53">SUM(E$13)/SUM(E$6:E$13)*Q54</f>
        <v>5.9542578489696511E-2</v>
      </c>
      <c r="X54" s="117">
        <f t="shared" ref="X54:X56" si="54">SUM(F$13)/SUM(F$6:F$13)*R54</f>
        <v>2.7819543788630819E-2</v>
      </c>
    </row>
    <row r="55" spans="3:24" x14ac:dyDescent="0.2">
      <c r="C55" s="110" t="s">
        <v>153</v>
      </c>
      <c r="D55" s="110"/>
      <c r="E55" s="110">
        <v>7489</v>
      </c>
      <c r="F55" s="110">
        <v>3804</v>
      </c>
      <c r="G55" s="110">
        <f t="shared" si="16"/>
        <v>11293</v>
      </c>
      <c r="H55" s="110">
        <v>24000</v>
      </c>
      <c r="I55" s="110">
        <v>21300</v>
      </c>
      <c r="J55" s="110">
        <f>J56+5184</f>
        <v>31284</v>
      </c>
      <c r="K55" s="110"/>
      <c r="L55" s="110">
        <v>4400</v>
      </c>
      <c r="M55" s="110">
        <f t="shared" si="31"/>
        <v>18864.333333333332</v>
      </c>
      <c r="N55" s="110">
        <f t="shared" si="18"/>
        <v>21853.15</v>
      </c>
      <c r="O55" s="110">
        <f t="shared" si="19"/>
        <v>7281.85</v>
      </c>
      <c r="P55" s="118">
        <f>1-(AVERAGE(AB14:AB15)/$AB$19)</f>
        <v>0.41997627946951466</v>
      </c>
      <c r="Q55" s="118">
        <f>1-(AVERAGE(AC14:AC15)/$AC$19)</f>
        <v>0.41639916428192481</v>
      </c>
      <c r="R55" s="118">
        <f>1-(AVERAGE(AD14:AD15)/$AD$19)</f>
        <v>0.46646187825902119</v>
      </c>
      <c r="S55" s="109">
        <f>SUM(D$13)/SUM(D$6:D$13)*M50</f>
        <v>561.06353002855735</v>
      </c>
      <c r="T55" s="109">
        <f t="shared" si="50"/>
        <v>1508.8201431636576</v>
      </c>
      <c r="U55" s="109">
        <f t="shared" si="51"/>
        <v>439.98319975879025</v>
      </c>
      <c r="V55" s="117">
        <f t="shared" si="52"/>
        <v>2.322311869979065E-2</v>
      </c>
      <c r="W55" s="117">
        <f t="shared" si="53"/>
        <v>3.9988889843523931E-2</v>
      </c>
      <c r="X55" s="117">
        <f t="shared" si="54"/>
        <v>2.0192979895303817E-2</v>
      </c>
    </row>
    <row r="56" spans="3:24" x14ac:dyDescent="0.2">
      <c r="C56" s="110" t="s">
        <v>154</v>
      </c>
      <c r="D56" s="110"/>
      <c r="E56" s="110">
        <v>5617</v>
      </c>
      <c r="F56" s="110">
        <v>3043</v>
      </c>
      <c r="G56" s="110">
        <f t="shared" si="16"/>
        <v>8660</v>
      </c>
      <c r="H56" s="110">
        <v>17000</v>
      </c>
      <c r="I56" s="110"/>
      <c r="J56" s="110">
        <v>26100</v>
      </c>
      <c r="K56" s="110">
        <v>16000</v>
      </c>
      <c r="L56" s="110"/>
      <c r="M56" s="110">
        <f t="shared" si="31"/>
        <v>12830</v>
      </c>
      <c r="N56" s="110">
        <f t="shared" si="18"/>
        <v>17208.666666666668</v>
      </c>
      <c r="O56" s="110">
        <f t="shared" si="19"/>
        <v>7794</v>
      </c>
      <c r="P56" s="118">
        <f>1-(AVERAGE(AB16:AB17)/$AB$19)</f>
        <v>0.21714504008878011</v>
      </c>
      <c r="Q56" s="118">
        <f>1-(AVERAGE(AC16:AC17)/$AC$19)</f>
        <v>0.21795083026999229</v>
      </c>
      <c r="R56" s="118">
        <f>1-(AVERAGE(AD16:AD17)/$AD$19)</f>
        <v>0.25707322779523334</v>
      </c>
      <c r="S56" s="109">
        <f>SUM(D$13)/SUM(D$6:D$13)*M51</f>
        <v>267.08094909948574</v>
      </c>
      <c r="T56" s="109">
        <f t="shared" si="50"/>
        <v>914.82932081846332</v>
      </c>
      <c r="U56" s="109">
        <f t="shared" si="51"/>
        <v>337.39967324104521</v>
      </c>
      <c r="V56" s="117">
        <f t="shared" si="52"/>
        <v>1.2007309192372105E-2</v>
      </c>
      <c r="W56" s="117">
        <f t="shared" si="53"/>
        <v>2.0930905944543061E-2</v>
      </c>
      <c r="X56" s="117">
        <f t="shared" si="54"/>
        <v>1.1128614710948488E-2</v>
      </c>
    </row>
    <row r="57" spans="3:24" x14ac:dyDescent="0.2">
      <c r="C57" s="112" t="s">
        <v>176</v>
      </c>
      <c r="D57" s="112"/>
      <c r="E57" s="112"/>
      <c r="F57" s="112"/>
      <c r="G57" s="112"/>
      <c r="H57" s="112"/>
      <c r="I57" s="112">
        <v>2128</v>
      </c>
      <c r="J57" s="112">
        <v>3200</v>
      </c>
      <c r="K57" s="112"/>
      <c r="L57" s="112">
        <v>2200</v>
      </c>
      <c r="M57" s="112">
        <f t="shared" si="31"/>
        <v>2128</v>
      </c>
      <c r="N57" s="112">
        <f t="shared" si="18"/>
        <v>1600</v>
      </c>
      <c r="O57" s="112">
        <f t="shared" si="19"/>
        <v>1100</v>
      </c>
      <c r="P57" s="116">
        <f>1-(AB18/$AB$19)</f>
        <v>-1.4035720286869058E-2</v>
      </c>
      <c r="Q57" s="116">
        <f>1-(AC18/$AC$19)</f>
        <v>-1.2427092022566644E-3</v>
      </c>
      <c r="R57" s="116">
        <f>1-(AD18/$AD$19)</f>
        <v>3.5765057987280247E-2</v>
      </c>
      <c r="S57" s="111">
        <f>D13/SUM(D6:D13)*M57</f>
        <v>117.67044713948357</v>
      </c>
      <c r="T57" s="111">
        <f>E13/SUM(E6:E13)*N57</f>
        <v>153.65598502094701</v>
      </c>
      <c r="U57" s="111">
        <f>F13/SUM(F6:F13)*O57</f>
        <v>47.618634919829319</v>
      </c>
      <c r="V57" s="116">
        <f>D13/SUM(D6:D13)*P57</f>
        <v>-7.7612287691757639E-4</v>
      </c>
      <c r="W57" s="116">
        <f t="shared" ref="W57:X57" si="55">E13/SUM(E6:E13)*Q57</f>
        <v>-1.193435666045894E-4</v>
      </c>
      <c r="X57" s="116">
        <f t="shared" si="55"/>
        <v>1.5482574901662033E-3</v>
      </c>
    </row>
    <row r="59" spans="3:24" x14ac:dyDescent="0.2">
      <c r="S59" s="120">
        <f>SUM(S37,S39,S42,S46,S51,S57)</f>
        <v>9690.1282417917137</v>
      </c>
      <c r="T59" s="120">
        <f t="shared" ref="T59:U59" si="56">SUM(T37,T39,T42,T46,T51,T57)</f>
        <v>14615.805297072342</v>
      </c>
      <c r="U59" s="120">
        <f t="shared" si="56"/>
        <v>11524.285690941653</v>
      </c>
      <c r="V59" s="119">
        <f>SUM(V37,V39,V42,V46,V51,V57)</f>
        <v>0.1981641327218589</v>
      </c>
      <c r="W59" s="119">
        <f t="shared" ref="W59:X59" si="57">SUM(W37,W39,W42,W46,W51,W57)</f>
        <v>0.20027210974567933</v>
      </c>
      <c r="X59" s="119">
        <f t="shared" si="57"/>
        <v>0.21491614514375235</v>
      </c>
    </row>
    <row r="60" spans="3:24" x14ac:dyDescent="0.2">
      <c r="C60" t="s">
        <v>175</v>
      </c>
      <c r="S60" s="167" cm="1">
        <f t="array" ref="S60">S38+AVERAGE(S40:S41)+AVERAGE(S43:S45)+AVERAGE(S47:S50+AVERAGE(S53:S56))</f>
        <v>22822.730577463703</v>
      </c>
      <c r="T60" s="167" cm="1">
        <f t="array" ref="T60">T38+AVERAGE(T40:T41)+AVERAGE(T43:T45)+AVERAGE(T47:T50+AVERAGE(T53:T56))</f>
        <v>24409.825731071127</v>
      </c>
      <c r="U60" s="167" cm="1">
        <f t="array" ref="U60">U38+AVERAGE(U40:U41)+AVERAGE(U43:U45)+AVERAGE(U47:U50+AVERAGE(U53:U56))</f>
        <v>18053.474545827339</v>
      </c>
      <c r="V60" s="121" cm="1">
        <f t="array" ref="V60">V38+AVERAGE(V40:V41)+AVERAGE(V43:V45)+AVERAGE(V47:V50+AVERAGE(V53:V56))</f>
        <v>0.43632703311692156</v>
      </c>
      <c r="W60" s="121" cm="1">
        <f t="array" ref="W60">W38+AVERAGE(W40:W41)+AVERAGE(W43:W45)+AVERAGE(W47:W50+AVERAGE(W53:W56))</f>
        <v>0.43522869117736274</v>
      </c>
      <c r="X60" s="121" cm="1">
        <f t="array" ref="X60">X38+AVERAGE(X40:X41)+AVERAGE(X43:X45)+AVERAGE(X47:X50+AVERAGE(X53:X56))</f>
        <v>0.37044995231485045</v>
      </c>
    </row>
  </sheetData>
  <mergeCells count="10">
    <mergeCell ref="V29:X29"/>
    <mergeCell ref="S29:U29"/>
    <mergeCell ref="C3:G3"/>
    <mergeCell ref="L2:N2"/>
    <mergeCell ref="O2:Q2"/>
    <mergeCell ref="C29:G29"/>
    <mergeCell ref="R2:T2"/>
    <mergeCell ref="H29:L29"/>
    <mergeCell ref="M29:O29"/>
    <mergeCell ref="P29:R29"/>
  </mergeCells>
  <hyperlinks>
    <hyperlink ref="AA20" r:id="rId1" display="http://www.seai.ie/Your_Building/BER/Your_Guide_to_Building_Energy_" xr:uid="{5807D69C-F428-4936-9796-3FEC8B37998C}"/>
    <hyperlink ref="H29" r:id="rId2" xr:uid="{55D40456-65AC-4DC1-BDA5-C642CA7C3A86}"/>
    <hyperlink ref="AA30" r:id="rId3" xr:uid="{AF869BAA-9B41-4B32-8C2B-813CEDB4E002}"/>
    <hyperlink ref="AA33" r:id="rId4" xr:uid="{E20DF966-7475-4A73-A2F1-AEF4BBC31038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Intro</vt:lpstr>
      <vt:lpstr>RSD_Retrofit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2020-10-08T09:19:26Z</dcterms:created>
  <dcterms:modified xsi:type="dcterms:W3CDTF">2023-07-29T14:16:00Z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571590602397918</vt:r8>
  </property>
</Properties>
</file>