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1B6E95D5-00DF-4FFD-8A4E-D40C07CB96F0}" xr6:coauthVersionLast="45" xr6:coauthVersionMax="47" xr10:uidLastSave="{00000000-0000-0000-0000-000000000000}"/>
  <bookViews>
    <workbookView xWindow="-120" yWindow="-120" windowWidth="29040" windowHeight="15840" activeTab="3"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20" i="9" l="1"/>
  <c r="Q19" i="9"/>
  <c r="Q18" i="9"/>
  <c r="O20" i="9"/>
  <c r="O15" i="9"/>
  <c r="P20" i="9" l="1"/>
  <c r="M11" i="9"/>
  <c r="P18" i="9"/>
  <c r="M16" i="9" l="1"/>
  <c r="M21" i="9"/>
  <c r="S12" i="9" l="1"/>
  <c r="S13" i="9"/>
  <c r="S15" i="9"/>
  <c r="S17" i="9"/>
  <c r="S18" i="9"/>
  <c r="S19" i="9"/>
  <c r="S20" i="9"/>
  <c r="S10" i="9"/>
  <c r="C23" i="9" l="1"/>
  <c r="B23" i="9"/>
  <c r="Q31" i="26" l="1"/>
  <c r="Q29" i="26" l="1"/>
  <c r="P19" i="9" s="1"/>
  <c r="R31" i="26"/>
  <c r="F19" i="26" l="1"/>
  <c r="F15" i="26"/>
  <c r="C19" i="9"/>
  <c r="R29" i="26"/>
  <c r="J15" i="9" l="1"/>
  <c r="D81" i="5" l="1"/>
  <c r="AD69" i="5" a="1"/>
  <c r="AD69" i="5" s="1"/>
  <c r="AC69" i="5" a="1"/>
  <c r="AC69" i="5" s="1"/>
  <c r="AB69" i="5" a="1"/>
  <c r="AB69" i="5" s="1"/>
  <c r="AA69" i="5" a="1"/>
  <c r="AA69" i="5" s="1"/>
  <c r="Z69" i="5" a="1"/>
  <c r="Z69" i="5" s="1"/>
  <c r="Y69" i="5" a="1"/>
  <c r="Y69" i="5" s="1"/>
  <c r="X69" i="5" a="1"/>
  <c r="X69" i="5" s="1"/>
  <c r="W69" i="5" a="1"/>
  <c r="W69" i="5" s="1"/>
  <c r="V69" i="5" a="1"/>
  <c r="V69" i="5" s="1"/>
  <c r="U69" i="5" a="1"/>
  <c r="U69" i="5" s="1"/>
  <c r="T69" i="5" a="1"/>
  <c r="T69" i="5" s="1"/>
  <c r="S69" i="5" a="1"/>
  <c r="S69" i="5" s="1"/>
  <c r="R69" i="5" a="1"/>
  <c r="R69" i="5" s="1"/>
  <c r="Q69" i="5" a="1"/>
  <c r="Q69" i="5" s="1"/>
  <c r="P69" i="5" a="1"/>
  <c r="P69" i="5" s="1"/>
  <c r="O69" i="5" a="1"/>
  <c r="O69" i="5" s="1"/>
  <c r="N69" i="5" a="1"/>
  <c r="N69" i="5" s="1"/>
  <c r="M69" i="5" a="1"/>
  <c r="M69" i="5" s="1"/>
  <c r="L69" i="5" a="1"/>
  <c r="L69" i="5" s="1"/>
  <c r="K69" i="5" a="1"/>
  <c r="K69" i="5" s="1"/>
  <c r="J69" i="5" a="1"/>
  <c r="J69" i="5" s="1"/>
  <c r="I69" i="5" a="1"/>
  <c r="I69" i="5" s="1"/>
  <c r="H69" i="5" a="1"/>
  <c r="H69" i="5" s="1"/>
  <c r="G69" i="5" a="1"/>
  <c r="G69" i="5" s="1"/>
  <c r="F69" i="5" a="1"/>
  <c r="F69" i="5" s="1"/>
  <c r="E69" i="5" a="1"/>
  <c r="E69" i="5" s="1"/>
  <c r="D69" i="5" a="1"/>
  <c r="D69" i="5" s="1"/>
  <c r="AD68" i="5" a="1"/>
  <c r="AD68" i="5" s="1"/>
  <c r="AC68" i="5" a="1"/>
  <c r="AC68" i="5" s="1"/>
  <c r="AB68" i="5" a="1"/>
  <c r="AB68" i="5" s="1"/>
  <c r="AA68" i="5" a="1"/>
  <c r="AA68" i="5" s="1"/>
  <c r="Z68" i="5" a="1"/>
  <c r="Z68" i="5" s="1"/>
  <c r="Y68" i="5" a="1"/>
  <c r="Y68" i="5" s="1"/>
  <c r="X68" i="5" a="1"/>
  <c r="X68" i="5" s="1"/>
  <c r="W68" i="5" a="1"/>
  <c r="W68" i="5" s="1"/>
  <c r="V68" i="5" a="1"/>
  <c r="V68" i="5" s="1"/>
  <c r="U68" i="5" a="1"/>
  <c r="U68" i="5" s="1"/>
  <c r="T68" i="5" a="1"/>
  <c r="T68" i="5" s="1"/>
  <c r="S68" i="5" a="1"/>
  <c r="S68" i="5" s="1"/>
  <c r="R68" i="5" a="1"/>
  <c r="R68" i="5" s="1"/>
  <c r="Q68" i="5" a="1"/>
  <c r="Q68" i="5" s="1"/>
  <c r="P68" i="5" a="1"/>
  <c r="P68" i="5" s="1"/>
  <c r="O68" i="5" a="1"/>
  <c r="O68" i="5" s="1"/>
  <c r="N68" i="5" a="1"/>
  <c r="N68" i="5" s="1"/>
  <c r="M68" i="5" a="1"/>
  <c r="M68" i="5" s="1"/>
  <c r="L68" i="5" a="1"/>
  <c r="L68" i="5" s="1"/>
  <c r="K68" i="5" a="1"/>
  <c r="K68" i="5" s="1"/>
  <c r="J68" i="5" a="1"/>
  <c r="J68" i="5" s="1"/>
  <c r="I68" i="5" a="1"/>
  <c r="I68" i="5" s="1"/>
  <c r="H68" i="5" a="1"/>
  <c r="H68" i="5" s="1"/>
  <c r="G68" i="5" a="1"/>
  <c r="G68" i="5" s="1"/>
  <c r="F68" i="5" a="1"/>
  <c r="F68" i="5" s="1"/>
  <c r="E68" i="5" a="1"/>
  <c r="E68" i="5" s="1"/>
  <c r="D68" i="5" a="1"/>
  <c r="D68" i="5" s="1"/>
  <c r="AD67" i="5" a="1"/>
  <c r="AD67" i="5" s="1"/>
  <c r="AC67" i="5" a="1"/>
  <c r="AC67" i="5" s="1"/>
  <c r="AB67" i="5" a="1"/>
  <c r="AB67" i="5" s="1"/>
  <c r="AA67" i="5" a="1"/>
  <c r="AA67" i="5" s="1"/>
  <c r="Z67" i="5" a="1"/>
  <c r="Z67" i="5" s="1"/>
  <c r="Y67" i="5" a="1"/>
  <c r="Y67" i="5" s="1"/>
  <c r="X67" i="5" a="1"/>
  <c r="X67" i="5" s="1"/>
  <c r="W67" i="5" a="1"/>
  <c r="W67" i="5" s="1"/>
  <c r="V67" i="5" a="1"/>
  <c r="V67" i="5" s="1"/>
  <c r="U67" i="5" a="1"/>
  <c r="U67" i="5" s="1"/>
  <c r="T67" i="5" a="1"/>
  <c r="T67" i="5" s="1"/>
  <c r="S67" i="5" a="1"/>
  <c r="S67" i="5" s="1"/>
  <c r="R67" i="5" a="1"/>
  <c r="R67" i="5" s="1"/>
  <c r="Q67" i="5" a="1"/>
  <c r="Q67" i="5" s="1"/>
  <c r="P67" i="5" a="1"/>
  <c r="P67" i="5" s="1"/>
  <c r="O67" i="5" a="1"/>
  <c r="O67" i="5" s="1"/>
  <c r="N67" i="5" a="1"/>
  <c r="N67" i="5" s="1"/>
  <c r="M67" i="5" a="1"/>
  <c r="M67" i="5" s="1"/>
  <c r="L67" i="5" a="1"/>
  <c r="L67" i="5" s="1"/>
  <c r="K67" i="5" a="1"/>
  <c r="K67" i="5" s="1"/>
  <c r="J67" i="5" a="1"/>
  <c r="J67" i="5" s="1"/>
  <c r="I67" i="5" a="1"/>
  <c r="I67" i="5" s="1"/>
  <c r="H67" i="5" a="1"/>
  <c r="H67" i="5" s="1"/>
  <c r="G67" i="5" a="1"/>
  <c r="G67" i="5" s="1"/>
  <c r="F67" i="5" a="1"/>
  <c r="F67" i="5" s="1"/>
  <c r="E67" i="5" a="1"/>
  <c r="E67" i="5" s="1"/>
  <c r="D67" i="5" a="1"/>
  <c r="D67" i="5" s="1"/>
  <c r="AD66" i="5" a="1"/>
  <c r="AD66" i="5" s="1"/>
  <c r="AC66" i="5" a="1"/>
  <c r="AC66" i="5" s="1"/>
  <c r="AB66" i="5" a="1"/>
  <c r="AB66" i="5" s="1"/>
  <c r="AA66" i="5" a="1"/>
  <c r="AA66" i="5" s="1"/>
  <c r="Z66" i="5" a="1"/>
  <c r="Z66" i="5" s="1"/>
  <c r="Y66" i="5" a="1"/>
  <c r="Y66" i="5" s="1"/>
  <c r="X66" i="5" a="1"/>
  <c r="X66" i="5" s="1"/>
  <c r="W66" i="5" a="1"/>
  <c r="W66" i="5" s="1"/>
  <c r="V66" i="5" a="1"/>
  <c r="V66" i="5" s="1"/>
  <c r="U66" i="5" a="1"/>
  <c r="U66" i="5" s="1"/>
  <c r="T66" i="5" a="1"/>
  <c r="T66" i="5" s="1"/>
  <c r="S66" i="5" a="1"/>
  <c r="S66" i="5" s="1"/>
  <c r="R66" i="5" a="1"/>
  <c r="R66" i="5" s="1"/>
  <c r="Q66" i="5" a="1"/>
  <c r="Q66" i="5" s="1"/>
  <c r="P66" i="5" a="1"/>
  <c r="P66" i="5" s="1"/>
  <c r="O66" i="5" a="1"/>
  <c r="O66" i="5" s="1"/>
  <c r="N66" i="5" a="1"/>
  <c r="N66" i="5" s="1"/>
  <c r="M66" i="5" a="1"/>
  <c r="M66" i="5" s="1"/>
  <c r="L66" i="5" a="1"/>
  <c r="L66" i="5" s="1"/>
  <c r="K66" i="5" a="1"/>
  <c r="K66" i="5" s="1"/>
  <c r="J66" i="5" a="1"/>
  <c r="J66" i="5" s="1"/>
  <c r="I66" i="5" a="1"/>
  <c r="I66" i="5" s="1"/>
  <c r="H66" i="5" a="1"/>
  <c r="H66" i="5" s="1"/>
  <c r="G66" i="5" a="1"/>
  <c r="G66" i="5" s="1"/>
  <c r="F66" i="5" a="1"/>
  <c r="F66" i="5" s="1"/>
  <c r="E66" i="5" a="1"/>
  <c r="E66" i="5" s="1"/>
  <c r="D66" i="5" a="1"/>
  <c r="D66" i="5" s="1"/>
  <c r="T18" i="9" l="1"/>
  <c r="J20" i="9" l="1"/>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C55" i="5"/>
  <c r="AB55" i="5"/>
  <c r="AA55" i="5"/>
  <c r="Z55" i="5"/>
  <c r="Y55" i="5"/>
  <c r="X55" i="5"/>
  <c r="W55" i="5"/>
  <c r="V55" i="5"/>
  <c r="U55" i="5"/>
  <c r="T55" i="5"/>
  <c r="S55" i="5"/>
  <c r="R55" i="5"/>
  <c r="Q55" i="5"/>
  <c r="P55" i="5"/>
  <c r="O55" i="5"/>
  <c r="N55" i="5"/>
  <c r="M55" i="5"/>
  <c r="L55" i="5"/>
  <c r="K55" i="5"/>
  <c r="J55" i="5"/>
  <c r="I55" i="5"/>
  <c r="H55" i="5"/>
  <c r="G55" i="5"/>
  <c r="F55" i="5"/>
  <c r="E55" i="5"/>
  <c r="D55" i="5"/>
  <c r="AD54" i="5"/>
  <c r="AC54" i="5"/>
  <c r="AB54" i="5"/>
  <c r="AA54" i="5"/>
  <c r="Z54" i="5"/>
  <c r="Y54" i="5"/>
  <c r="X54" i="5"/>
  <c r="W54" i="5"/>
  <c r="V54" i="5"/>
  <c r="U54" i="5"/>
  <c r="T54" i="5"/>
  <c r="S54" i="5"/>
  <c r="R54" i="5"/>
  <c r="Q54" i="5"/>
  <c r="P54" i="5"/>
  <c r="O54" i="5"/>
  <c r="N54" i="5"/>
  <c r="M54" i="5"/>
  <c r="L54" i="5"/>
  <c r="K54" i="5"/>
  <c r="J54" i="5"/>
  <c r="I54" i="5"/>
  <c r="H54" i="5"/>
  <c r="G54" i="5"/>
  <c r="F54" i="5"/>
  <c r="E54" i="5"/>
  <c r="D54" i="5"/>
  <c r="AD53" i="5"/>
  <c r="AC53" i="5"/>
  <c r="AB53" i="5"/>
  <c r="AA53" i="5"/>
  <c r="Z53" i="5"/>
  <c r="Y53" i="5"/>
  <c r="X53" i="5"/>
  <c r="W53" i="5"/>
  <c r="V53" i="5"/>
  <c r="U53" i="5"/>
  <c r="T53" i="5"/>
  <c r="S53" i="5"/>
  <c r="R53" i="5"/>
  <c r="Q53" i="5"/>
  <c r="P53" i="5"/>
  <c r="O53" i="5"/>
  <c r="N53" i="5"/>
  <c r="M53" i="5"/>
  <c r="L53" i="5"/>
  <c r="K53" i="5"/>
  <c r="J53" i="5"/>
  <c r="I53" i="5"/>
  <c r="H53" i="5"/>
  <c r="G53" i="5"/>
  <c r="F53" i="5"/>
  <c r="E53" i="5"/>
  <c r="D53" i="5"/>
  <c r="AD52" i="5"/>
  <c r="AC52" i="5"/>
  <c r="AB52" i="5"/>
  <c r="AA52" i="5"/>
  <c r="Z52" i="5"/>
  <c r="Y52" i="5"/>
  <c r="X52" i="5"/>
  <c r="W52" i="5"/>
  <c r="V52" i="5"/>
  <c r="U52" i="5"/>
  <c r="T52" i="5"/>
  <c r="S52" i="5"/>
  <c r="R52" i="5"/>
  <c r="Q52" i="5"/>
  <c r="P52" i="5"/>
  <c r="O52" i="5"/>
  <c r="N52" i="5"/>
  <c r="M52" i="5"/>
  <c r="L52" i="5"/>
  <c r="K52" i="5"/>
  <c r="J52" i="5"/>
  <c r="I52" i="5"/>
  <c r="H52" i="5"/>
  <c r="G52" i="5"/>
  <c r="F52" i="5"/>
  <c r="E52" i="5"/>
  <c r="D52" i="5"/>
  <c r="E5" i="26" l="1"/>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5" i="9" l="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A13" i="9"/>
  <c r="Z13" i="9"/>
  <c r="C6" i="26" l="1"/>
  <c r="K5" i="26"/>
  <c r="D5" i="26"/>
  <c r="Z12" i="9"/>
  <c r="AA12" i="9"/>
  <c r="R13" i="9"/>
  <c r="R10" i="9"/>
  <c r="Q13" i="9"/>
  <c r="O13" i="9"/>
  <c r="N13" i="9"/>
  <c r="J13" i="9"/>
  <c r="M14" i="9" s="1"/>
  <c r="Z9" i="9"/>
  <c r="AA9" i="9"/>
  <c r="R9" i="9"/>
  <c r="Q9" i="9"/>
  <c r="P9" i="9"/>
  <c r="O9" i="9"/>
  <c r="N9" i="9"/>
  <c r="I9" i="9"/>
  <c r="AA11" i="9"/>
  <c r="Z11" i="9"/>
  <c r="R12" i="9"/>
  <c r="P12" i="9"/>
  <c r="N12" i="9"/>
  <c r="C5" i="26" l="1"/>
  <c r="T19" i="9" s="1"/>
  <c r="AD6" i="26"/>
  <c r="R8" i="9"/>
  <c r="AD5" i="26" l="1"/>
  <c r="Q10" i="9"/>
  <c r="P8" i="9"/>
  <c r="Q8" i="9"/>
  <c r="J10" i="9" l="1"/>
  <c r="V10" i="9" l="1"/>
  <c r="O10" i="9"/>
  <c r="N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charset val="1"/>
          </rPr>
          <t>Mc Guire, Jason:</t>
        </r>
        <r>
          <rPr>
            <sz val="9"/>
            <color indexed="81"/>
            <rFont val="Tahoma"/>
            <charset val="1"/>
          </rPr>
          <t xml:space="preserve">
Equal 1c/kWh price sold assumed (44MEurp/PJ)</t>
        </r>
      </text>
    </comment>
    <comment ref="P22" authorId="1" shapeId="0" xr:uid="{B0F88A7E-149E-4211-9D37-70501D5EA6CF}">
      <text>
        <r>
          <rPr>
            <b/>
            <sz val="9"/>
            <color indexed="81"/>
            <rFont val="Tahoma"/>
            <charset val="1"/>
          </rPr>
          <t>Mc Guire, Jason:</t>
        </r>
        <r>
          <rPr>
            <sz val="9"/>
            <color indexed="81"/>
            <rFont val="Tahoma"/>
            <charset val="1"/>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<sst xmlns="http://schemas.openxmlformats.org/spreadsheetml/2006/main" count="4644" uniqueCount="1328">
  <si>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</si>
  <si>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</si>
  <si>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</si>
  <si>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</si>
  <si>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</si>
  <si>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</si>
  <si>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</si>
  <si>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</si>
  <si>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</si>
  <si>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</si>
  <si>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</si>
  <si>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</si>
  <si>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</si>
  <si>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</si>
  <si>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</si>
  <si>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</si>
  <si>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</si>
  <si>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</si>
  <si>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</si>
  <si>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</si>
  <si>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</si>
  <si>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</si>
  <si>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</si>
  <si>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</si>
  <si>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</si>
  <si>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</si>
  <si>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</si>
  <si>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</si>
  <si>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</si>
  <si>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</si>
  <si>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</si>
  <si>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</si>
  <si>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</si>
  <si>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</si>
  <si>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</si>
  <si>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</si>
  <si>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</si>
  <si>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</si>
  <si>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</si>
  <si>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</si>
  <si>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</si>
  <si>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</si>
  <si>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</si>
  <si>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</si>
  <si>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</si>
  <si>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</si>
  <si>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</si>
  <si>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</si>
  <si>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</si>
  <si>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</si>
  <si>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</si>
  <si>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</si>
  <si>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</si>
  <si>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</si>
  <si>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</si>
  <si>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</si>
  <si>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</si>
  <si>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</si>
  <si>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</si>
  <si>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</si>
  <si>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</si>
  <si>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</si>
  <si>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</si>
  <si>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</si>
  <si>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</si>
  <si>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</si>
  <si>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</si>
  <si>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</si>
  <si>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</si>
  <si>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</si>
  <si>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</si>
  <si>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</si>
  <si>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</si>
  <si>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</si>
  <si>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</si>
  <si>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</si>
  <si>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</si>
  <si>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</si>
  <si>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</si>
  <si>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</si>
  <si>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</si>
  <si>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</si>
  <si>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</si>
  <si>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</si>
  <si>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</si>
  <si>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</si>
  <si>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</si>
  <si>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</si>
  <si>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</si>
  <si>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</si>
  <si>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</si>
  <si>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</si>
  <si>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</si>
  <si>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</si>
  <si>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</si>
  <si>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</si>
  <si>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</si>
  <si>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</si>
  <si>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</si>
  <si>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</si>
  <si>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</si>
  <si>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</si>
  <si>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</si>
  <si>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</si>
  <si>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</si>
  <si>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</si>
  <si>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</si>
  <si>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</si>
  <si>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</si>
  <si>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</si>
  <si>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</si>
  <si>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</si>
  <si>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</si>
  <si>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</si>
  <si>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</si>
  <si>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</si>
  <si>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</si>
  <si>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</si>
  <si>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</si>
  <si>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</si>
  <si>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</si>
  <si>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</si>
  <si>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</si>
  <si>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</si>
  <si>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</si>
  <si>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</si>
  <si>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</si>
  <si>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</si>
  <si>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</si>
  <si>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</si>
  <si>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</si>
  <si>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</si>
  <si>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</si>
  <si>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</si>
  <si>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</si>
  <si>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</si>
  <si>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</si>
  <si>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</si>
  <si>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</si>
  <si>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</si>
  <si>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</si>
  <si>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</si>
  <si>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</si>
  <si>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</si>
  <si>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</si>
  <si>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</si>
  <si>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</si>
  <si>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</si>
  <si>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</si>
  <si>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</si>
  <si>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</si>
  <si>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</si>
  <si>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</si>
  <si>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</si>
  <si>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</si>
  <si>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</si>
  <si>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</si>
  <si>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</si>
  <si>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</si>
  <si>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</si>
  <si>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</si>
  <si>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</si>
  <si>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</si>
  <si>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</si>
  <si>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</si>
  <si>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</si>
  <si>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</si>
  <si>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</si>
  <si>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</si>
  <si>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</si>
  <si>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</si>
  <si>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</si>
  <si>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</si>
  <si>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</si>
  <si>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</si>
  <si>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</si>
  <si>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</si>
  <si>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</si>
  <si>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</si>
  <si>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</si>
  <si>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</si>
  <si>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</si>
  <si>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</si>
  <si>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</si>
  <si>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</si>
  <si>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</si>
  <si>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</si>
  <si>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</si>
  <si>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</si>
  <si>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</si>
  <si>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</si>
  <si>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</si>
  <si>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</si>
  <si>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</si>
  <si>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</si>
  <si>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</si>
  <si>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</si>
  <si>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</si>
  <si>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</si>
  <si>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</si>
  <si>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</si>
  <si>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</si>
  <si>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</si>
  <si>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</si>
  <si>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</si>
  <si>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</si>
  <si>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</si>
  <si>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</si>
  <si>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</si>
  <si>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</si>
  <si>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</si>
  <si>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</si>
  <si>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</si>
  <si>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</si>
  <si>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</si>
  <si>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</si>
  <si>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</si>
  <si>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</si>
  <si>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</si>
  <si>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</si>
  <si>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</si>
  <si>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</si>
  <si>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</si>
  <si>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</si>
  <si>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</si>
  <si>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</si>
  <si>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</si>
  <si>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</si>
  <si>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</si>
  <si>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</si>
  <si>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</si>
  <si>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</si>
  <si>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</si>
  <si>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</si>
  <si>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</si>
  <si>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</si>
  <si>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</si>
  <si>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</si>
  <si>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</si>
  <si>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</si>
  <si>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</si>
  <si>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</si>
  <si>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</si>
  <si>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</si>
  <si>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</si>
  <si>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</si>
  <si>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</si>
  <si>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</si>
  <si>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</si>
  <si>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</si>
  <si>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</si>
  <si>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</si>
  <si>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</si>
  <si>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</si>
  <si>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</si>
  <si>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</si>
  <si>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</si>
  <si>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</si>
  <si>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</si>
  <si>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</si>
  <si>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</si>
  <si>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</si>
  <si>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</si>
  <si>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</si>
  <si>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</si>
  <si>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</si>
  <si>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</si>
  <si>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</si>
  <si>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</si>
  <si>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</si>
  <si>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</si>
  <si>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</si>
  <si>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</si>
  <si>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</si>
  <si>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</si>
  <si>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</si>
  <si>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</si>
  <si>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</si>
  <si>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</si>
  <si>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</si>
  <si>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</si>
  <si>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</si>
  <si>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</si>
  <si>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</si>
  <si>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</si>
  <si>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</si>
  <si>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</si>
  <si>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</si>
  <si>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</si>
  <si>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</si>
  <si>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</si>
  <si>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</si>
  <si>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</si>
  <si>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</si>
  <si>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</si>
  <si>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</si>
  <si>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</si>
  <si>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</si>
  <si>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</si>
  <si>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</si>
  <si>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</si>
  <si>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</si>
  <si>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</si>
  <si>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</si>
  <si>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</si>
  <si>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</si>
  <si>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</si>
  <si>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</si>
  <si>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</si>
  <si>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</si>
  <si>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</si>
  <si>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</si>
  <si>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</si>
  <si>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</si>
  <si>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</si>
  <si>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</si>
  <si>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</si>
  <si>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</si>
  <si>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</si>
  <si>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</si>
  <si>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</si>
  <si>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</si>
  <si>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</si>
  <si>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</si>
  <si>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</si>
  <si>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</si>
  <si>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</si>
  <si>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</si>
  <si>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</si>
  <si>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</si>
  <si>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</si>
  <si>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</si>
  <si>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</si>
  <si>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</si>
  <si>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</si>
  <si>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</si>
  <si>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</si>
  <si>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</si>
  <si>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</si>
  <si>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</si>
  <si>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</si>
  <si>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</si>
  <si>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</si>
  <si>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</si>
  <si>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</si>
  <si>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</si>
  <si>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</si>
  <si>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</si>
  <si>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</si>
  <si>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</si>
  <si>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</si>
  <si>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</si>
  <si>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</si>
  <si>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</si>
  <si>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</si>
  <si>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</si>
  <si>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</si>
  <si>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</si>
  <si>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</si>
  <si>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</si>
  <si>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</si>
  <si>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</si>
  <si>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</si>
  <si>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</si>
  <si>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</si>
  <si>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</si>
  <si>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</si>
  <si>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</si>
  <si>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</si>
  <si>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</si>
  <si>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</si>
  <si>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</si>
  <si>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</si>
  <si>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</si>
  <si>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</si>
  <si>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</si>
  <si>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</si>
  <si>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</si>
  <si>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</si>
  <si>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</si>
  <si>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</si>
  <si>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</si>
  <si>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</si>
  <si>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</si>
  <si>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</si>
  <si>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</si>
  <si>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</si>
  <si>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</si>
  <si>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</si>
  <si>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</si>
  <si>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</si>
  <si>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</si>
  <si>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</si>
  <si>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</si>
  <si>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</si>
  <si>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</si>
  <si>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</si>
  <si>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</si>
  <si>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</si>
  <si>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</si>
  <si>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</si>
  <si>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</si>
  <si>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</si>
  <si>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</si>
  <si>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</si>
  <si>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</si>
  <si>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</si>
  <si>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</si>
  <si>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</si>
  <si>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</si>
  <si>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</si>
  <si>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</si>
  <si>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</si>
  <si>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</si>
  <si>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</si>
  <si>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</si>
  <si>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</si>
  <si>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</si>
  <si>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</si>
  <si>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</si>
  <si>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</si>
  <si>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</si>
  <si>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</si>
  <si>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</si>
  <si>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</si>
  <si>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</si>
  <si>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</si>
  <si>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</si>
  <si>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</si>
  <si>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</si>
  <si>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</si>
  <si>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</si>
  <si>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</si>
  <si>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</si>
  <si>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</si>
  <si>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</si>
  <si>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</si>
  <si>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</si>
  <si>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</si>
  <si>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</si>
  <si>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</si>
  <si>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</si>
  <si>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</si>
  <si>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</si>
  <si>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</si>
  <si>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</si>
  <si>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</si>
  <si>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</si>
  <si>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</si>
  <si>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</si>
  <si>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</si>
  <si>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</si>
  <si>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</si>
  <si>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</si>
  <si>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</si>
  <si>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</si>
  <si>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</si>
  <si>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</si>
  <si>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</si>
  <si>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</si>
  <si>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</si>
  <si>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</si>
  <si>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</si>
  <si>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</si>
  <si>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</si>
  <si>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</si>
  <si>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</si>
  <si>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</si>
  <si>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</si>
  <si>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</si>
  <si>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</si>
  <si>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</si>
  <si>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</si>
  <si>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</si>
  <si>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</si>
  <si>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</si>
  <si>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</si>
  <si>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</si>
  <si>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</si>
  <si>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</si>
  <si>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</si>
  <si>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</si>
  <si>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</si>
  <si>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</si>
  <si>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</si>
  <si>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</si>
  <si>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</si>
  <si>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</si>
  <si>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</si>
  <si>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</si>
  <si>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</si>
  <si>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</si>
  <si>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</si>
  <si>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</si>
  <si>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</si>
  <si>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</si>
  <si>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</si>
  <si>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</si>
  <si>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</si>
  <si>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</si>
  <si>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</si>
  <si>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</si>
  <si>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</si>
  <si>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</si>
  <si>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</si>
  <si>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</si>
  <si>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</si>
  <si>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</si>
  <si>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</si>
  <si>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</si>
  <si>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</si>
  <si>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</si>
  <si>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</si>
  <si>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</si>
  <si>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</si>
  <si>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</si>
  <si>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</si>
  <si>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</si>
  <si>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</si>
  <si>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</si>
  <si>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</si>
  <si>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</si>
  <si>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</si>
  <si>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</si>
  <si>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</si>
  <si>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</si>
  <si>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</si>
  <si>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</si>
  <si>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</si>
  <si>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</si>
  <si>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</si>
  <si>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</si>
  <si>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</si>
  <si>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</si>
  <si>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</si>
  <si>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</si>
  <si>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</si>
  <si>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</si>
  <si>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</si>
  <si>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</si>
  <si>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</si>
  <si>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</si>
  <si>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</si>
  <si>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</si>
  <si>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</si>
  <si>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</si>
  <si>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</si>
  <si>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</si>
  <si>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</si>
  <si>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</si>
  <si>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</si>
  <si>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</si>
  <si>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</si>
  <si>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</si>
  <si>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</si>
  <si>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</si>
  <si>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</si>
  <si>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</si>
  <si>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</si>
  <si>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</si>
  <si>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</si>
  <si>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</si>
  <si>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</si>
  <si>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</si>
  <si>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</si>
  <si>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</si>
  <si>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</si>
  <si>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</si>
  <si>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</si>
  <si>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</si>
  <si>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</si>
  <si>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</si>
  <si>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</si>
  <si>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</si>
  <si>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</si>
  <si>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</si>
  <si>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</si>
  <si>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</si>
  <si>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</si>
  <si>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</si>
  <si>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</si>
  <si>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</si>
  <si>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</si>
  <si>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</si>
  <si>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</si>
  <si>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</si>
  <si>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</si>
  <si>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</si>
  <si>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</si>
  <si>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</si>
  <si>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</si>
  <si>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</si>
  <si>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</si>
  <si>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</si>
  <si>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</si>
  <si>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</si>
  <si>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</si>
  <si>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</si>
  <si>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</si>
  <si>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</si>
  <si>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</si>
  <si>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</si>
  <si>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</si>
  <si>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</si>
  <si>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</si>
  <si>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</si>
  <si>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</si>
  <si>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</si>
  <si>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</si>
  <si>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</si>
  <si>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</si>
  <si>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</si>
  <si>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</si>
  <si>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</si>
  <si>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</si>
  <si>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</si>
  <si>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</si>
  <si>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</si>
  <si>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</si>
  <si>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</si>
  <si>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</si>
  <si>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</si>
  <si>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</si>
  <si>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</si>
  <si>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</si>
  <si>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</si>
  <si>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</si>
  <si>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</si>
  <si>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</si>
  <si>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</si>
  <si>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</si>
  <si>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</si>
  <si>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</si>
  <si>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</si>
  <si>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</si>
  <si>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</si>
  <si>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</si>
  <si>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</si>
  <si>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</si>
  <si>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</si>
  <si>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</si>
  <si>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</si>
  <si>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</si>
  <si>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</si>
  <si>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</si>
  <si>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</si>
  <si>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</si>
  <si>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</si>
  <si>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</si>
  <si>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</si>
  <si>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</si>
  <si>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</si>
  <si>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</si>
  <si>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</si>
  <si>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</si>
  <si>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</si>
  <si>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</si>
  <si>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</si>
  <si>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</si>
  <si>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</si>
  <si>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</si>
  <si>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</si>
  <si>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</si>
  <si>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</si>
  <si>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</si>
  <si>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</si>
  <si>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</si>
  <si>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</si>
  <si>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</si>
  <si>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</si>
  <si>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</si>
  <si>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</si>
  <si>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</si>
  <si>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</si>
  <si>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</si>
  <si>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</si>
  <si>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</si>
  <si>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</si>
  <si>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</si>
  <si>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</si>
  <si>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</si>
  <si>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</si>
  <si>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</si>
  <si>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</si>
  <si>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</si>
  <si>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</si>
  <si>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</si>
  <si>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</si>
  <si>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</si>
  <si>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</si>
  <si>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</si>
  <si>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</si>
  <si>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</si>
  <si>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</si>
  <si>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</si>
  <si>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</si>
  <si>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</si>
  <si>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</si>
  <si>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</si>
  <si>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</si>
  <si>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</si>
  <si>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</si>
  <si>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</si>
  <si>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</si>
  <si>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</si>
  <si>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</si>
  <si>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</si>
  <si>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</si>
  <si>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</si>
  <si>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</si>
  <si>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</si>
  <si>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</si>
  <si>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</si>
  <si>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</si>
  <si>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</si>
  <si>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</si>
  <si>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</si>
  <si>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</si>
  <si>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</si>
  <si>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</si>
  <si>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</si>
  <si>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</si>
  <si>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</si>
  <si>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</si>
  <si>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</si>
  <si>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</si>
  <si>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</si>
  <si>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</si>
  <si>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</si>
  <si>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</si>
  <si>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</si>
  <si>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</si>
  <si>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</si>
  <si>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</si>
  <si>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</si>
  <si>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</si>
  <si>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</si>
  <si>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</si>
  <si>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</si>
  <si>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</si>
  <si>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</si>
  <si>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</si>
  <si>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</si>
  <si>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</si>
  <si>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</si>
  <si>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</si>
  <si>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</si>
  <si>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</si>
  <si>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</si>
  <si>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</si>
  <si>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</si>
  <si>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</si>
  <si>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</si>
  <si>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</si>
  <si>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</si>
  <si>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</si>
  <si>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</si>
  <si>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</si>
  <si>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</si>
  <si>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</si>
  <si>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</si>
  <si>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</si>
  <si>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</si>
  <si>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</si>
  <si>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</si>
  <si>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</si>
  <si>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</si>
  <si>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</si>
  <si>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</si>
  <si>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</si>
  <si>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</si>
  <si>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</si>
  <si>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</si>
  <si>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</si>
  <si>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</si>
  <si>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</si>
  <si>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</si>
  <si>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</si>
  <si>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</si>
  <si>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</si>
  <si>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</si>
  <si>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</si>
  <si>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</si>
  <si>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</si>
  <si>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</si>
  <si>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</si>
  <si>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</si>
  <si>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</si>
  <si>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</si>
  <si>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</si>
  <si>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</si>
  <si>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</si>
  <si>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</si>
  <si>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</si>
  <si>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</si>
  <si>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</si>
  <si>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</si>
  <si>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</si>
  <si>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</si>
  <si>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</si>
  <si>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</si>
  <si>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</si>
  <si>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</si>
  <si>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</si>
  <si>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</si>
  <si>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</si>
  <si>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</si>
  <si>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</si>
  <si>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</si>
  <si>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</si>
  <si>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</si>
  <si>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</si>
  <si>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</si>
  <si>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</si>
  <si>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</si>
  <si>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</si>
  <si>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</si>
  <si>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</si>
  <si>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</si>
  <si>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</si>
  <si>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</si>
  <si>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</si>
  <si>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</si>
  <si>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</si>
  <si>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</si>
  <si>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</si>
  <si>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</si>
  <si>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</si>
  <si>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</si>
  <si>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</si>
  <si>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</si>
  <si>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</si>
  <si>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</si>
  <si>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</si>
  <si>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</si>
  <si>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</si>
  <si>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</si>
  <si>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</si>
  <si>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</si>
  <si>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</si>
  <si>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</si>
  <si>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</si>
  <si>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</si>
  <si>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</si>
  <si>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</si>
  <si>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</si>
  <si>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</si>
  <si>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</si>
  <si>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</si>
  <si>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</si>
  <si>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</si>
  <si>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</si>
  <si>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</si>
  <si>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</si>
  <si>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</si>
  <si>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</si>
  <si>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</si>
  <si>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</si>
  <si>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</si>
  <si>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</si>
  <si>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</si>
  <si>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</si>
  <si>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</si>
  <si>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</si>
  <si>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</si>
  <si>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</si>
  <si>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</si>
  <si>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</si>
  <si>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</si>
  <si>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</si>
  <si>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</si>
  <si>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</si>
  <si>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</si>
  <si>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</si>
  <si>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</si>
  <si>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</si>
  <si>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</si>
  <si>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</si>
  <si>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</si>
  <si>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</si>
  <si>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</si>
  <si>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</si>
  <si>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</si>
  <si>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</si>
  <si>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</si>
  <si>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</si>
  <si>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</si>
  <si>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</si>
  <si>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</si>
  <si>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</si>
  <si>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</si>
  <si>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</si>
  <si>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</si>
  <si>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</si>
  <si>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</si>
  <si>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</si>
  <si>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</si>
  <si>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</si>
  <si>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</si>
  <si>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</si>
  <si>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</si>
  <si>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</si>
  <si>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</si>
  <si>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</si>
  <si>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</si>
  <si>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</si>
  <si>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</si>
  <si>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</si>
  <si>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</si>
  <si>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</si>
  <si>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</si>
  <si>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</si>
  <si>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</si>
  <si>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</si>
  <si>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</si>
  <si>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</si>
  <si>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</si>
  <si>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</si>
  <si>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</si>
  <si>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</si>
  <si>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</si>
  <si>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</si>
  <si>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</si>
  <si>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</si>
  <si>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</si>
  <si>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</si>
  <si>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</si>
  <si>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</si>
  <si>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</si>
  <si>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</si>
  <si>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</si>
  <si>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</si>
  <si>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</si>
  <si>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</si>
  <si>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</si>
  <si>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</si>
  <si>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</si>
  <si>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</si>
  <si>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</si>
  <si>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</si>
  <si>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</si>
  <si>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</si>
  <si>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</si>
  <si>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</si>
  <si>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</si>
  <si>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</si>
  <si>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</si>
  <si>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</si>
  <si>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</si>
  <si>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</si>
  <si>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</si>
  <si>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</si>
  <si>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</si>
  <si>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</si>
  <si>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</si>
  <si>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</si>
  <si>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</si>
  <si>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</si>
  <si>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</si>
  <si>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</si>
  <si>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</si>
  <si>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</si>
  <si>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</si>
  <si>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</si>
  <si>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</si>
  <si>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</si>
  <si>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</si>
  <si>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</si>
  <si>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</si>
  <si>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</si>
  <si>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</si>
  <si>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</si>
  <si>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</si>
  <si>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</si>
  <si>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</si>
  <si>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</si>
  <si>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</si>
  <si>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</si>
  <si>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</si>
  <si>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</si>
  <si>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</si>
  <si>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</si>
  <si>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</si>
  <si>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</si>
  <si>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</si>
  <si>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</si>
  <si>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</si>
  <si>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</si>
  <si>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</si>
  <si>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</si>
  <si>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</si>
  <si>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</si>
  <si>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</si>
  <si>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</si>
  <si>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</si>
  <si>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</si>
  <si>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</si>
  <si>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</si>
  <si>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</si>
  <si>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</si>
  <si>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</si>
  <si>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</si>
  <si>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</si>
  <si>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</si>
  <si>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</si>
  <si>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</si>
  <si>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</si>
  <si>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</si>
  <si>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</si>
  <si>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</si>
  <si>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</si>
  <si>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</si>
  <si>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</si>
  <si>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</si>
  <si>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</si>
  <si>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</si>
  <si>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</si>
  <si>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</si>
  <si>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</si>
  <si>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</si>
  <si>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</si>
  <si>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</si>
  <si>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</si>
  <si>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</si>
  <si>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</si>
  <si>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</si>
  <si>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</si>
  <si>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</si>
  <si>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</si>
  <si>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</si>
  <si>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</si>
  <si>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</si>
  <si>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</si>
  <si>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</si>
  <si>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</si>
  <si>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</si>
  <si>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</si>
  <si>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</si>
  <si>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</si>
  <si>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</si>
  <si>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</si>
  <si>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</si>
  <si>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</si>
  <si>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</si>
  <si>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</si>
  <si>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</si>
  <si>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</si>
  <si>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</si>
  <si>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</si>
  <si>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</si>
  <si>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</si>
  <si>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</si>
  <si>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</si>
  <si>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</si>
  <si>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</si>
  <si>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</si>
  <si>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</si>
  <si>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</si>
  <si>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</si>
  <si>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</si>
  <si>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</si>
  <si>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</si>
  <si>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</si>
  <si>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</si>
  <si>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</si>
  <si>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</si>
  <si>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</si>
  <si>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</si>
  <si>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</si>
  <si>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</si>
  <si>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</si>
  <si>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</si>
  <si>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</si>
  <si>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</si>
  <si>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</si>
  <si>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</si>
  <si>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</si>
  <si>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</si>
  <si>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</si>
  <si>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</si>
  <si>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</si>
  <si>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</si>
  <si>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</si>
  <si>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</si>
  <si>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</si>
  <si>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</si>
  <si>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</si>
  <si>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</si>
  <si>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</si>
  <si>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</si>
  <si>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</si>
  <si>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</si>
  <si>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</si>
  <si>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</si>
  <si>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</si>
  <si>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</si>
  <si>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</si>
  <si>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</si>
  <si>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</si>
  <si>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</si>
  <si>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</si>
  <si>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</si>
  <si>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</si>
  <si>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</si>
  <si>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</si>
  <si>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</si>
  <si>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</si>
  <si>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</si>
  <si>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</si>
  <si>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</si>
  <si>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</si>
  <si>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</si>
  <si>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</si>
  <si>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</si>
  <si>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</si>
  <si>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</si>
  <si>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</si>
  <si>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</si>
  <si>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</si>
  <si>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</si>
  <si>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</si>
  <si>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</si>
  <si>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</si>
  <si>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</si>
  <si>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</si>
  <si>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</si>
  <si>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</si>
  <si>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</si>
  <si>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</si>
  <si>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</si>
  <si>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</si>
  <si>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</si>
  <si>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</si>
  <si>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</si>
  <si>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</si>
  <si>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</si>
  <si>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</si>
  <si>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</si>
  <si>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</si>
  <si>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</si>
  <si>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</si>
  <si>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</si>
  <si>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</si>
  <si>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</si>
  <si>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</si>
  <si>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</si>
  <si>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</si>
  <si>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</si>
  <si>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</si>
  <si>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</si>
  <si>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</si>
  <si>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</si>
  <si>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</si>
  <si>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</si>
  <si>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</si>
  <si>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</si>
  <si>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</si>
  <si>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</si>
  <si>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</si>
  <si>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</si>
  <si>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</si>
  <si>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</si>
  <si>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</si>
  <si>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</si>
  <si>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</si>
  <si>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</si>
  <si>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</si>
  <si>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</si>
  <si>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</si>
  <si>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</si>
  <si>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</si>
  <si>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</si>
  <si>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</si>
  <si>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</si>
  <si>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</si>
  <si>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</si>
  <si>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</si>
  <si>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</si>
  <si>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</si>
  <si>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</si>
  <si>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</si>
  <si>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</si>
  <si>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</si>
  <si>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</si>
  <si>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</si>
  <si>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</si>
  <si>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</si>
  <si>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</si>
  <si>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</si>
  <si>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</si>
  <si>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</si>
  <si>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</si>
  <si>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</si>
  <si>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</si>
  <si>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</si>
  <si>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</si>
  <si>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</si>
  <si>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</si>
  <si>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</si>
  <si>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</si>
  <si>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</si>
  <si>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</si>
  <si>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</si>
  <si>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</si>
  <si>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</si>
  <si>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</si>
  <si>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</si>
  <si>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</si>
  <si>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</si>
  <si>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</si>
  <si>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</si>
  <si>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</si>
  <si>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</si>
  <si>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</si>
  <si>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</si>
  <si>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</si>
  <si>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</si>
  <si>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</si>
  <si>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</si>
  <si>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</si>
  <si>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</si>
  <si>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</si>
  <si>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</si>
  <si>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</si>
  <si>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</si>
  <si>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</si>
  <si>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</si>
  <si>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</si>
  <si>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</si>
  <si>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</si>
  <si>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</si>
  <si>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</si>
  <si>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</si>
  <si>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</si>
  <si>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</si>
  <si>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</si>
  <si>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</si>
  <si>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</si>
  <si>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</si>
  <si>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</si>
  <si>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</si>
  <si>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</si>
  <si>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</si>
  <si>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</si>
  <si>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</si>
  <si>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</si>
  <si>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</si>
  <si>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</si>
  <si>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</si>
  <si>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</si>
  <si>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</si>
  <si>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</si>
  <si>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</si>
  <si>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</si>
  <si>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</si>
  <si>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</si>
  <si>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</si>
  <si>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</si>
  <si>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</si>
  <si>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</si>
  <si>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</si>
  <si>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</si>
  <si>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</si>
  <si>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</si>
  <si>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</si>
  <si>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</si>
  <si>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</si>
  <si>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</si>
  <si>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</si>
  <si>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</si>
  <si>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</si>
  <si>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</si>
  <si>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</si>
  <si>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</si>
  <si>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</si>
  <si>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</si>
  <si>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</si>
  <si>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</si>
  <si>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</si>
  <si>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</si>
  <si>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</si>
  <si>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</si>
  <si>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</si>
  <si>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</si>
  <si>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</si>
  <si>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</si>
  <si>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</si>
  <si>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</si>
  <si>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</si>
  <si>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</si>
  <si>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</si>
  <si>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</si>
  <si>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</si>
  <si>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</si>
  <si>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</si>
  <si>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</si>
  <si>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</si>
  <si>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</si>
  <si>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</si>
  <si>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</si>
  <si>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</si>
  <si>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</si>
  <si>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</si>
  <si>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</si>
  <si>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</si>
  <si>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</si>
  <si>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</si>
  <si>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</si>
  <si>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</si>
  <si>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</si>
  <si>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</si>
  <si>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</si>
  <si>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</si>
  <si>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</si>
  <si>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</si>
  <si>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</si>
  <si>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</si>
  <si>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</si>
  <si>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</si>
  <si>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</si>
  <si>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</si>
  <si>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</si>
  <si>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</si>
  <si>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</si>
  <si>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</si>
  <si>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</si>
  <si>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STS</t>
  </si>
  <si>
    <t>NRG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</si>
</sst>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8">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9" fontId="22" fillId="0" borderId="27" xfId="2871" applyNumberFormat="1" applyFont="1" applyBorder="1"/>
    <xf numFmtId="9" fontId="22" fillId="0" borderId="31" xfId="0" applyNumberFormat="1" applyFont="1" applyBorder="1"/>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0" t="s">
        <v>2</v>
      </c>
      <c r="B16" s="310"/>
      <c r="C16" s="310"/>
      <c r="D16" s="310"/>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09" t="s">
        <v>14</v>
      </c>
      <c r="C19" s="309"/>
      <c r="D19" s="309"/>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09" t="s">
        <v>15</v>
      </c>
      <c r="C20" s="309"/>
      <c r="D20" s="309"/>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09" t="s">
        <v>17</v>
      </c>
      <c r="C23" s="309"/>
      <c r="D23" s="309"/>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09" t="s">
        <v>18</v>
      </c>
      <c r="C24" s="309"/>
      <c r="D24" s="309"/>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09" t="s">
        <v>17</v>
      </c>
      <c r="C26" s="309"/>
      <c r="D26" s="309"/>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09" t="s">
        <v>18</v>
      </c>
      <c r="C27" s="309"/>
      <c r="D27" s="309"/>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1" t="s">
        <v>10</v>
      </c>
      <c r="C30" s="309"/>
      <c r="D30" s="309"/>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09" t="s">
        <v>12</v>
      </c>
      <c r="C31" s="309"/>
      <c r="D31" s="309"/>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1139</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1140</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1141</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1142</v>
      </c>
      <c r="B10" s="196" t="s">
        <v>1143</v>
      </c>
    </row>
    <row r="11" spans="1:30">
      <c r="A11" s="197" t="s">
        <v>433</v>
      </c>
      <c r="B11" s="197" t="s">
        <v>58</v>
      </c>
    </row>
    <row r="12" spans="1:30">
      <c r="A12" s="198" t="s">
        <v>456</v>
      </c>
      <c r="B12" s="198" t="s">
        <v>64</v>
      </c>
    </row>
    <row r="13" spans="1:30">
      <c r="A13" s="198" t="s">
        <v>445</v>
      </c>
      <c r="B13" s="198" t="s">
        <v>1144</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1145</v>
      </c>
    </row>
    <row r="19" spans="1:2">
      <c r="A19" s="198" t="s">
        <v>435</v>
      </c>
      <c r="B19" s="198" t="s">
        <v>198</v>
      </c>
    </row>
    <row r="20" spans="1:2">
      <c r="A20" s="198" t="s">
        <v>436</v>
      </c>
      <c r="B20" s="198" t="s">
        <v>220</v>
      </c>
    </row>
    <row r="21" spans="1:2">
      <c r="A21" s="198" t="s">
        <v>437</v>
      </c>
      <c r="B21" s="198" t="s">
        <v>1146</v>
      </c>
    </row>
    <row r="22" spans="1:2">
      <c r="A22" s="198" t="s">
        <v>452</v>
      </c>
      <c r="B22" s="198" t="s">
        <v>1147</v>
      </c>
    </row>
    <row r="23" spans="1:2">
      <c r="A23" s="198" t="s">
        <v>448</v>
      </c>
      <c r="B23" s="198" t="s">
        <v>431</v>
      </c>
    </row>
    <row r="24" spans="1:2">
      <c r="A24" s="198" t="s">
        <v>438</v>
      </c>
      <c r="B24" s="198" t="s">
        <v>267</v>
      </c>
    </row>
    <row r="25" spans="1:2">
      <c r="A25" s="198" t="s">
        <v>439</v>
      </c>
      <c r="B25" s="198" t="s">
        <v>1148</v>
      </c>
    </row>
    <row r="26" spans="1:2">
      <c r="A26" s="198" t="s">
        <v>453</v>
      </c>
      <c r="B26" s="198" t="s">
        <v>1149</v>
      </c>
    </row>
    <row r="27" spans="1:2">
      <c r="A27" s="198" t="s">
        <v>440</v>
      </c>
      <c r="B27" s="198" t="s">
        <v>1150</v>
      </c>
    </row>
    <row r="28" spans="1:2">
      <c r="A28" s="198" t="s">
        <v>458</v>
      </c>
      <c r="B28" s="198" t="s">
        <v>323</v>
      </c>
    </row>
    <row r="29" spans="1:2">
      <c r="A29" s="198" t="s">
        <v>441</v>
      </c>
      <c r="B29" s="198" t="s">
        <v>1151</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1152</v>
      </c>
    </row>
    <row r="35" spans="1:2">
      <c r="A35" s="198" t="s">
        <v>443</v>
      </c>
      <c r="B35" s="198" t="s">
        <v>396</v>
      </c>
    </row>
    <row r="36" spans="1:2">
      <c r="A36" s="198" t="s">
        <v>444</v>
      </c>
      <c r="B36" s="198" t="s">
        <v>413</v>
      </c>
    </row>
    <row r="37" spans="1:2" ht="15">
      <c r="A37" s="199" t="s">
        <v>1153</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2" t="s">
        <v>1134</v>
      </c>
      <c r="K1" s="312"/>
      <c r="L1" s="312"/>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1047</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1047</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1047</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1047</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tabSelected="1" topLeftCell="C1" workbookViewId="0">
      <selection activeCell="Q21" sqref="Q21"/>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538</v>
      </c>
      <c r="C2" s="52"/>
      <c r="D2" s="52"/>
      <c r="E2" s="52"/>
      <c r="F2" s="53"/>
      <c r="G2" s="53"/>
      <c r="H2" s="53"/>
      <c r="I2" s="53"/>
      <c r="J2" s="53" t="s">
        <v>1137</v>
      </c>
      <c r="K2" s="53"/>
      <c r="L2" s="53"/>
      <c r="M2" s="83" t="s">
        <v>1136</v>
      </c>
      <c r="N2" s="53"/>
      <c r="O2" s="52"/>
      <c r="P2" s="52"/>
      <c r="Q2" s="52"/>
      <c r="R2" s="52"/>
      <c r="S2" s="52"/>
      <c r="T2" s="52"/>
      <c r="U2" s="52"/>
      <c r="V2" s="52"/>
      <c r="W2" s="52"/>
    </row>
    <row r="3" spans="2:32" ht="15">
      <c r="B3" s="189" t="s">
        <v>1133</v>
      </c>
      <c r="C3" s="52"/>
      <c r="D3" s="52"/>
      <c r="E3" s="52"/>
      <c r="F3" s="53"/>
      <c r="G3" s="53"/>
      <c r="H3" s="53"/>
      <c r="I3" s="53"/>
      <c r="J3" s="53"/>
      <c r="K3" s="53"/>
      <c r="L3" s="53"/>
      <c r="M3" s="83" t="s">
        <v>973</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1002</v>
      </c>
      <c r="F5" s="55" t="s">
        <v>476</v>
      </c>
      <c r="G5" s="55" t="s">
        <v>539</v>
      </c>
      <c r="H5" s="55" t="s">
        <v>953</v>
      </c>
      <c r="I5" s="55" t="s">
        <v>540</v>
      </c>
      <c r="J5" s="55" t="s">
        <v>477</v>
      </c>
      <c r="K5" s="192" t="s">
        <v>1320</v>
      </c>
      <c r="L5" s="192" t="s">
        <v>1321</v>
      </c>
      <c r="M5" s="55" t="s">
        <v>1004</v>
      </c>
      <c r="N5" s="55" t="s">
        <v>541</v>
      </c>
      <c r="O5" s="55" t="s">
        <v>542</v>
      </c>
      <c r="P5" s="55" t="s">
        <v>543</v>
      </c>
      <c r="Q5" s="55" t="s">
        <v>544</v>
      </c>
      <c r="R5" s="55" t="s">
        <v>545</v>
      </c>
      <c r="S5" s="55" t="s">
        <v>546</v>
      </c>
      <c r="T5" s="55" t="s">
        <v>1301</v>
      </c>
      <c r="U5" s="55" t="s">
        <v>1302</v>
      </c>
      <c r="V5" s="55" t="s">
        <v>547</v>
      </c>
      <c r="W5" s="52"/>
      <c r="Y5" s="85" t="s">
        <v>487</v>
      </c>
      <c r="Z5" s="85" t="s">
        <v>0</v>
      </c>
      <c r="AA5" s="85" t="s">
        <v>488</v>
      </c>
      <c r="AB5" s="85" t="s">
        <v>489</v>
      </c>
      <c r="AC5" s="85" t="s">
        <v>490</v>
      </c>
      <c r="AD5" s="85" t="s">
        <v>491</v>
      </c>
      <c r="AE5" s="85" t="s">
        <v>492</v>
      </c>
      <c r="AF5" s="85" t="s">
        <v>493</v>
      </c>
    </row>
    <row r="6" spans="2:32" ht="51.75" thickBot="1">
      <c r="B6" s="56" t="s">
        <v>548</v>
      </c>
      <c r="C6" s="56" t="s">
        <v>496</v>
      </c>
      <c r="D6" s="150" t="s">
        <v>480</v>
      </c>
      <c r="E6" s="56"/>
      <c r="F6" s="56" t="s">
        <v>481</v>
      </c>
      <c r="G6" s="56" t="s">
        <v>549</v>
      </c>
      <c r="H6" s="56" t="s">
        <v>550</v>
      </c>
      <c r="I6" s="56" t="s">
        <v>551</v>
      </c>
      <c r="J6" s="56" t="s">
        <v>482</v>
      </c>
      <c r="K6" s="56" t="s">
        <v>1138</v>
      </c>
      <c r="L6" s="56"/>
      <c r="M6" s="56" t="s">
        <v>484</v>
      </c>
      <c r="N6" s="56" t="s">
        <v>552</v>
      </c>
      <c r="O6" s="56" t="s">
        <v>553</v>
      </c>
      <c r="P6" s="56" t="s">
        <v>554</v>
      </c>
      <c r="Q6" s="56" t="s">
        <v>555</v>
      </c>
      <c r="R6" s="56" t="s">
        <v>1</v>
      </c>
      <c r="S6" s="56" t="s">
        <v>556</v>
      </c>
      <c r="T6" s="56" t="s">
        <v>1300</v>
      </c>
      <c r="U6" s="56" t="s">
        <v>1300</v>
      </c>
      <c r="V6" s="56" t="s">
        <v>557</v>
      </c>
      <c r="W6" s="52"/>
      <c r="Y6" s="86" t="s">
        <v>977</v>
      </c>
      <c r="Z6" s="86" t="s">
        <v>495</v>
      </c>
      <c r="AA6" s="86" t="s">
        <v>496</v>
      </c>
      <c r="AB6" s="86" t="s">
        <v>497</v>
      </c>
      <c r="AC6" s="86" t="s">
        <v>498</v>
      </c>
      <c r="AD6" s="86" t="s">
        <v>978</v>
      </c>
      <c r="AE6" s="86" t="s">
        <v>979</v>
      </c>
      <c r="AF6" s="86" t="s">
        <v>501</v>
      </c>
    </row>
    <row r="7" spans="2:32" ht="15.75" thickBot="1">
      <c r="B7" s="77" t="s">
        <v>483</v>
      </c>
      <c r="C7" s="77"/>
      <c r="D7" s="77"/>
      <c r="E7" s="77"/>
      <c r="F7" s="77"/>
      <c r="G7" s="77"/>
      <c r="H7" s="77" t="s">
        <v>558</v>
      </c>
      <c r="I7" s="77"/>
      <c r="J7" s="77"/>
      <c r="K7" s="77"/>
      <c r="L7" s="77"/>
      <c r="M7" s="77"/>
      <c r="N7" s="77" t="s">
        <v>560</v>
      </c>
      <c r="O7" s="77"/>
      <c r="P7" s="77" t="s">
        <v>974</v>
      </c>
      <c r="Q7" s="77" t="s">
        <v>975</v>
      </c>
      <c r="R7" s="77" t="s">
        <v>976</v>
      </c>
      <c r="S7" s="77" t="s">
        <v>559</v>
      </c>
      <c r="T7" s="77"/>
      <c r="U7" s="77"/>
      <c r="V7" s="77" t="s">
        <v>560</v>
      </c>
      <c r="W7" s="52"/>
      <c r="Y7" s="57" t="s">
        <v>483</v>
      </c>
      <c r="Z7" s="57"/>
      <c r="AA7" s="57"/>
      <c r="AB7" s="57"/>
      <c r="AC7" s="57"/>
      <c r="AD7" s="57"/>
      <c r="AE7" s="57"/>
      <c r="AF7" s="57"/>
    </row>
    <row r="8" spans="2:32" ht="15">
      <c r="B8" s="95" t="s">
        <v>1016</v>
      </c>
      <c r="C8" s="95" t="s">
        <v>1041</v>
      </c>
      <c r="D8" s="95" t="s">
        <v>561</v>
      </c>
      <c r="E8" s="95"/>
      <c r="F8" s="95" t="s">
        <v>535</v>
      </c>
      <c r="G8" s="95" t="s">
        <v>1059</v>
      </c>
      <c r="H8" s="95">
        <v>2022</v>
      </c>
      <c r="I8" s="95">
        <v>0.5</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7"/>
      <c r="U8" s="290"/>
      <c r="V8" s="98">
        <f>ROUNDUP('41 Electric boiler, large'!D13,0)</f>
        <v>1</v>
      </c>
      <c r="W8" s="52"/>
      <c r="Y8" s="65" t="s">
        <v>980</v>
      </c>
      <c r="Z8" s="65" t="str">
        <f t="shared" ref="Z8:AA10" si="1">B8</f>
        <v>DH_ELC_BLR_N1</v>
      </c>
      <c r="AA8" s="65" t="str">
        <f t="shared" si="1"/>
        <v>Electric Boiler for District Heating</v>
      </c>
      <c r="AB8" s="65" t="s">
        <v>484</v>
      </c>
      <c r="AC8" s="65" t="s">
        <v>562</v>
      </c>
      <c r="AD8" s="65" t="s">
        <v>1157</v>
      </c>
      <c r="AE8" s="65"/>
      <c r="AF8" s="65"/>
    </row>
    <row r="9" spans="2:32" ht="15">
      <c r="B9" s="88" t="s">
        <v>1017</v>
      </c>
      <c r="C9" s="88" t="s">
        <v>1040</v>
      </c>
      <c r="D9" s="88" t="s">
        <v>1007</v>
      </c>
      <c r="E9" s="88"/>
      <c r="F9" s="88" t="s">
        <v>535</v>
      </c>
      <c r="G9" s="88" t="s">
        <v>1059</v>
      </c>
      <c r="H9" s="88">
        <v>2022</v>
      </c>
      <c r="I9" s="88">
        <f>'44 Natural Gas DH Only'!G6</f>
        <v>0.5</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90"/>
      <c r="U9" s="291"/>
      <c r="V9" s="94">
        <v>1</v>
      </c>
      <c r="W9" s="52"/>
      <c r="Y9" s="58" t="s">
        <v>980</v>
      </c>
      <c r="Z9" s="58" t="str">
        <f t="shared" si="1"/>
        <v>DH_GAS_BLR_N1</v>
      </c>
      <c r="AA9" s="58" t="str">
        <f t="shared" si="1"/>
        <v>Gas Boiler for District Heating</v>
      </c>
      <c r="AB9" s="58" t="s">
        <v>484</v>
      </c>
      <c r="AC9" s="58" t="s">
        <v>562</v>
      </c>
      <c r="AD9" s="58" t="s">
        <v>1157</v>
      </c>
      <c r="AE9" s="58"/>
      <c r="AF9" s="58"/>
    </row>
    <row r="10" spans="2:32" ht="15">
      <c r="B10" s="59" t="s">
        <v>1015</v>
      </c>
      <c r="C10" s="59" t="s">
        <v>1009</v>
      </c>
      <c r="D10" s="59" t="s">
        <v>561</v>
      </c>
      <c r="E10" s="59"/>
      <c r="F10" s="59" t="s">
        <v>535</v>
      </c>
      <c r="G10" s="59" t="s">
        <v>1059</v>
      </c>
      <c r="H10" s="59">
        <v>2022</v>
      </c>
      <c r="I10" s="59">
        <v>0.5</v>
      </c>
      <c r="J10" s="62">
        <f>'45.3.a Geoth. DH, 1200m, E (LT)'!C7</f>
        <v>5.4809479999999997</v>
      </c>
      <c r="K10" s="190"/>
      <c r="L10" s="190"/>
      <c r="M10" s="60"/>
      <c r="N10" s="61">
        <f>'45.3.a Geoth. DH, 1200m, E (LT)'!C11</f>
        <v>25</v>
      </c>
      <c r="O10" s="62">
        <f>1-'45.3.a Geoth. DH, 1200m, E (LT)'!C9</f>
        <v>0.98</v>
      </c>
      <c r="P10" s="64">
        <f>'45.3.a Geoth. DH, 1200m, E (LT)'!C27*1000*1.1</f>
        <v>2970.0000000000005</v>
      </c>
      <c r="Q10" s="64">
        <f>'45.3.a Geoth. DH, 1200m, E (LT)'!C34/1000</f>
        <v>23.2</v>
      </c>
      <c r="R10" s="303">
        <f>('45.3.a Geoth. DH, 1200m, E (LT)'!C31/1000)/S10</f>
        <v>1.7313546423135463E-4</v>
      </c>
      <c r="S10" s="60">
        <f t="shared" si="0"/>
        <v>31.536000000000001</v>
      </c>
      <c r="T10" s="63">
        <v>5</v>
      </c>
      <c r="U10" s="292">
        <v>5</v>
      </c>
      <c r="V10" s="64">
        <f>ROUNDUP('45.3.a Geoth. DH, 1200m, E (LT)'!D13,0)</f>
        <v>5</v>
      </c>
      <c r="W10" s="52"/>
      <c r="Y10" s="65" t="s">
        <v>980</v>
      </c>
      <c r="Z10" s="65" t="str">
        <f t="shared" si="1"/>
        <v>DH_ELC_GEO1200_N1</v>
      </c>
      <c r="AA10" s="65" t="str">
        <f t="shared" si="1"/>
        <v>Geothermal and electric HP 1200m</v>
      </c>
      <c r="AB10" s="65" t="s">
        <v>484</v>
      </c>
      <c r="AC10" s="65" t="s">
        <v>562</v>
      </c>
      <c r="AD10" s="65" t="s">
        <v>1157</v>
      </c>
      <c r="AE10" s="65"/>
      <c r="AF10" s="65"/>
    </row>
    <row r="11" spans="2:32" ht="15">
      <c r="B11" s="91"/>
      <c r="C11" s="91"/>
      <c r="D11" s="91"/>
      <c r="E11" s="91" t="s">
        <v>1003</v>
      </c>
      <c r="F11" s="91"/>
      <c r="G11" s="91"/>
      <c r="H11" s="91"/>
      <c r="I11" s="91"/>
      <c r="J11" s="91"/>
      <c r="K11" s="91"/>
      <c r="L11" s="91"/>
      <c r="M11" s="92">
        <f>1-(1/J10)</f>
        <v>0.81754981072617361</v>
      </c>
      <c r="N11" s="91"/>
      <c r="O11" s="91"/>
      <c r="P11" s="305"/>
      <c r="Q11" s="305"/>
      <c r="R11" s="305"/>
      <c r="S11" s="92"/>
      <c r="T11" s="91"/>
      <c r="U11" s="293"/>
      <c r="V11" s="91"/>
      <c r="W11" s="52"/>
      <c r="Y11" s="58" t="s">
        <v>980</v>
      </c>
      <c r="Z11" s="58" t="str">
        <f>B12</f>
        <v>DH_SOL_N1</v>
      </c>
      <c r="AA11" s="58" t="str">
        <f>C12</f>
        <v>Solar District Heating</v>
      </c>
      <c r="AB11" s="58" t="s">
        <v>484</v>
      </c>
      <c r="AC11" s="58" t="s">
        <v>562</v>
      </c>
      <c r="AD11" s="58" t="s">
        <v>1157</v>
      </c>
      <c r="AE11" s="58"/>
      <c r="AF11" s="58"/>
    </row>
    <row r="12" spans="2:32" ht="15">
      <c r="B12" s="66" t="s">
        <v>1013</v>
      </c>
      <c r="C12" s="66" t="s">
        <v>1005</v>
      </c>
      <c r="D12" s="66" t="s">
        <v>1006</v>
      </c>
      <c r="E12" s="66"/>
      <c r="F12" s="66" t="s">
        <v>535</v>
      </c>
      <c r="G12" s="88" t="s">
        <v>1059</v>
      </c>
      <c r="H12" s="89">
        <v>2025</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123">
        <v>2</v>
      </c>
      <c r="U12" s="294">
        <v>5</v>
      </c>
      <c r="V12" s="68">
        <v>1</v>
      </c>
      <c r="W12" s="52"/>
      <c r="Y12" s="65" t="s">
        <v>980</v>
      </c>
      <c r="Z12" s="65" t="str">
        <f>B13</f>
        <v>DH_AHP_GEO1200_N1</v>
      </c>
      <c r="AA12" s="65" t="str">
        <f>C13</f>
        <v>Geothermal and absorption HP 1200m</v>
      </c>
      <c r="AB12" s="65" t="s">
        <v>484</v>
      </c>
      <c r="AC12" s="65" t="s">
        <v>562</v>
      </c>
      <c r="AD12" s="65" t="s">
        <v>1157</v>
      </c>
      <c r="AE12" s="65"/>
      <c r="AF12" s="65"/>
    </row>
    <row r="13" spans="2:32" ht="15">
      <c r="B13" s="59" t="s">
        <v>1014</v>
      </c>
      <c r="C13" s="59" t="s">
        <v>1010</v>
      </c>
      <c r="D13" s="59" t="s">
        <v>1011</v>
      </c>
      <c r="E13" s="59"/>
      <c r="F13" s="59" t="s">
        <v>535</v>
      </c>
      <c r="G13" s="59" t="s">
        <v>1059</v>
      </c>
      <c r="H13" s="59">
        <v>2022</v>
      </c>
      <c r="I13" s="59">
        <v>0.5</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63">
        <v>5</v>
      </c>
      <c r="U13" s="292">
        <v>5</v>
      </c>
      <c r="V13" s="64">
        <v>5</v>
      </c>
      <c r="Y13" s="58" t="s">
        <v>980</v>
      </c>
      <c r="Z13" s="58" t="str">
        <f>B15</f>
        <v>DH_ASHP_ELC_N1</v>
      </c>
      <c r="AA13" s="58" t="str">
        <f>C15</f>
        <v>Air Source Heat Pump</v>
      </c>
      <c r="AB13" s="58" t="s">
        <v>484</v>
      </c>
      <c r="AC13" s="58" t="s">
        <v>562</v>
      </c>
      <c r="AD13" s="58" t="s">
        <v>1157</v>
      </c>
      <c r="AE13" s="58"/>
      <c r="AF13" s="58"/>
    </row>
    <row r="14" spans="2:32" ht="15">
      <c r="B14" s="91"/>
      <c r="C14" s="91"/>
      <c r="D14" s="91"/>
      <c r="E14" s="91" t="s">
        <v>1003</v>
      </c>
      <c r="F14" s="91"/>
      <c r="G14" s="91"/>
      <c r="H14" s="91"/>
      <c r="I14" s="91"/>
      <c r="J14" s="91"/>
      <c r="K14" s="91"/>
      <c r="L14" s="91"/>
      <c r="M14" s="92">
        <f>1-1/(J13)</f>
        <v>0.39443999021415022</v>
      </c>
      <c r="N14" s="91"/>
      <c r="O14" s="91"/>
      <c r="P14" s="305"/>
      <c r="Q14" s="305"/>
      <c r="R14" s="305"/>
      <c r="S14" s="92"/>
      <c r="T14" s="91"/>
      <c r="U14" s="293"/>
      <c r="V14" s="91"/>
      <c r="W14" s="66"/>
      <c r="Y14" s="65" t="s">
        <v>980</v>
      </c>
      <c r="Z14" s="65" t="str">
        <f>B17</f>
        <v>DH_BIO_BLR_N1</v>
      </c>
      <c r="AA14" s="65" t="str">
        <f>C17</f>
        <v>Biomass Boiler for District Heating</v>
      </c>
      <c r="AB14" s="65" t="s">
        <v>484</v>
      </c>
      <c r="AC14" s="65" t="s">
        <v>562</v>
      </c>
      <c r="AD14" s="65" t="s">
        <v>1157</v>
      </c>
      <c r="AE14" s="65"/>
      <c r="AF14" s="65"/>
    </row>
    <row r="15" spans="2:32" ht="15">
      <c r="B15" s="99" t="s">
        <v>1012</v>
      </c>
      <c r="C15" s="99" t="s">
        <v>1008</v>
      </c>
      <c r="D15" s="99" t="s">
        <v>561</v>
      </c>
      <c r="E15" s="99"/>
      <c r="F15" s="99" t="s">
        <v>535</v>
      </c>
      <c r="G15" s="99" t="s">
        <v>1059</v>
      </c>
      <c r="H15" s="99">
        <v>2022</v>
      </c>
      <c r="I15" s="99">
        <v>0.5</v>
      </c>
      <c r="J15" s="99">
        <f>'40 Comp. hp, airsource 10 MW'!D8</f>
        <v>3.5</v>
      </c>
      <c r="K15" s="191"/>
      <c r="L15" s="191"/>
      <c r="M15" s="99"/>
      <c r="N15" s="99">
        <f>'40 Comp. hp, airsource 10 MW'!C12</f>
        <v>25</v>
      </c>
      <c r="O15" s="336">
        <f>1-'40 Comp. hp, airsource 10 MW'!C9</f>
        <v>0.99</v>
      </c>
      <c r="P15" s="306">
        <f>'40 Comp. hp, airsource 10 MW'!C28*1000</f>
        <v>860</v>
      </c>
      <c r="Q15" s="306">
        <f>'40 Comp. hp, airsource 10 MW'!C35/1000</f>
        <v>2</v>
      </c>
      <c r="R15" s="306">
        <f>('40 Comp. hp, airsource 10 MW'!C32/1000)/S15</f>
        <v>5.3589548452562145E-5</v>
      </c>
      <c r="S15" s="99">
        <f t="shared" si="0"/>
        <v>31.536000000000001</v>
      </c>
      <c r="T15" s="99"/>
      <c r="U15" s="295"/>
      <c r="V15" s="99">
        <v>1</v>
      </c>
      <c r="W15" s="66"/>
      <c r="Y15" s="58" t="s">
        <v>980</v>
      </c>
      <c r="Z15" s="58" t="str">
        <f>B19</f>
        <v>DH_PWR_SURPLUS_HEAT</v>
      </c>
      <c r="AA15" s="58" t="s">
        <v>1031</v>
      </c>
      <c r="AB15" s="58" t="s">
        <v>484</v>
      </c>
      <c r="AC15" s="58" t="s">
        <v>562</v>
      </c>
      <c r="AD15" s="58" t="s">
        <v>1157</v>
      </c>
      <c r="AE15" s="58"/>
      <c r="AF15" s="58"/>
    </row>
    <row r="16" spans="2:32" ht="15">
      <c r="B16" s="100"/>
      <c r="C16" s="100"/>
      <c r="D16" s="100"/>
      <c r="E16" s="100" t="s">
        <v>1003</v>
      </c>
      <c r="F16" s="100"/>
      <c r="G16" s="100"/>
      <c r="H16" s="100"/>
      <c r="I16" s="100"/>
      <c r="J16" s="100"/>
      <c r="K16" s="100"/>
      <c r="L16" s="100"/>
      <c r="M16" s="101">
        <f>1-1/(J15)</f>
        <v>0.7142857142857143</v>
      </c>
      <c r="N16" s="100"/>
      <c r="O16" s="100"/>
      <c r="P16" s="307"/>
      <c r="Q16" s="307"/>
      <c r="R16" s="307"/>
      <c r="S16" s="101"/>
      <c r="T16" s="100"/>
      <c r="U16" s="296"/>
      <c r="V16" s="100"/>
      <c r="W16" s="66"/>
      <c r="Y16" s="65" t="s">
        <v>980</v>
      </c>
      <c r="Z16" s="65" t="str">
        <f>B18</f>
        <v>DH_IND_SURPLUS_HEAT</v>
      </c>
      <c r="AA16" s="65" t="s">
        <v>1030</v>
      </c>
      <c r="AB16" s="65" t="s">
        <v>484</v>
      </c>
      <c r="AC16" s="65" t="s">
        <v>562</v>
      </c>
      <c r="AD16" s="65" t="s">
        <v>1157</v>
      </c>
      <c r="AE16" s="65"/>
      <c r="AF16" s="65"/>
    </row>
    <row r="17" spans="2:32" ht="15">
      <c r="B17" s="117" t="s">
        <v>1039</v>
      </c>
      <c r="C17" s="117" t="s">
        <v>1042</v>
      </c>
      <c r="D17" s="117" t="s">
        <v>1043</v>
      </c>
      <c r="E17" s="117"/>
      <c r="F17" s="117" t="s">
        <v>535</v>
      </c>
      <c r="G17" s="117" t="s">
        <v>1059</v>
      </c>
      <c r="H17" s="117">
        <v>2022</v>
      </c>
      <c r="I17" s="117">
        <v>0.5</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21"/>
      <c r="U17" s="297"/>
      <c r="V17" s="122">
        <f>'09a Wood Chips HOP, medium'!D11</f>
        <v>2</v>
      </c>
      <c r="W17" s="66"/>
      <c r="Y17" s="58" t="s">
        <v>1326</v>
      </c>
      <c r="Z17" s="58" t="s">
        <v>1135</v>
      </c>
      <c r="AA17" s="58" t="s">
        <v>1325</v>
      </c>
      <c r="AB17" s="58" t="s">
        <v>484</v>
      </c>
      <c r="AC17" s="58" t="s">
        <v>562</v>
      </c>
      <c r="AD17" s="58" t="s">
        <v>1157</v>
      </c>
      <c r="AE17" s="58" t="s">
        <v>1327</v>
      </c>
      <c r="AF17" s="58"/>
    </row>
    <row r="18" spans="2:32" ht="15">
      <c r="B18" s="100" t="s">
        <v>1032</v>
      </c>
      <c r="C18" s="124" t="str">
        <f>AA16</f>
        <v>Industrial Surplus Heat</v>
      </c>
      <c r="D18" s="124"/>
      <c r="E18" s="124"/>
      <c r="F18" s="100" t="s">
        <v>535</v>
      </c>
      <c r="G18" s="100" t="s">
        <v>1059</v>
      </c>
      <c r="H18" s="100">
        <v>2022</v>
      </c>
      <c r="I18" s="124">
        <v>0.5</v>
      </c>
      <c r="J18" s="124">
        <v>1</v>
      </c>
      <c r="K18" s="124"/>
      <c r="L18" s="124"/>
      <c r="M18" s="124"/>
      <c r="N18" s="124">
        <v>25</v>
      </c>
      <c r="O18" s="124">
        <v>0.7</v>
      </c>
      <c r="P18" s="304">
        <f>1.3*'Surplus Heat'!Q31/1000</f>
        <v>867.86171858585874</v>
      </c>
      <c r="Q18" s="304">
        <f>HE_data!C31/400</f>
        <v>0.35100000000000003</v>
      </c>
      <c r="R18" s="304">
        <v>22</v>
      </c>
      <c r="S18" s="124">
        <f t="shared" si="0"/>
        <v>31.536000000000001</v>
      </c>
      <c r="T18" s="151">
        <f>'Surplus Heat'!C6/1000</f>
        <v>10.257740372771327</v>
      </c>
      <c r="U18" s="125">
        <v>5</v>
      </c>
      <c r="V18" s="124"/>
      <c r="Y18" s="65" t="s">
        <v>980</v>
      </c>
      <c r="Z18" s="65" t="s">
        <v>1293</v>
      </c>
      <c r="AA18" s="65" t="s">
        <v>1156</v>
      </c>
      <c r="AB18" s="65" t="s">
        <v>484</v>
      </c>
      <c r="AC18" s="65" t="s">
        <v>562</v>
      </c>
      <c r="AD18" s="65" t="s">
        <v>1157</v>
      </c>
      <c r="AE18" s="65"/>
      <c r="AF18" s="65"/>
    </row>
    <row r="19" spans="2:32" ht="15">
      <c r="B19" s="117" t="s">
        <v>1033</v>
      </c>
      <c r="C19" s="118" t="str">
        <f>AA15</f>
        <v>Power Generation Surplus Heat</v>
      </c>
      <c r="D19" s="117"/>
      <c r="E19" s="117"/>
      <c r="F19" s="117" t="s">
        <v>535</v>
      </c>
      <c r="G19" s="117" t="s">
        <v>1059</v>
      </c>
      <c r="H19" s="117">
        <v>2022</v>
      </c>
      <c r="I19" s="117">
        <v>0.5</v>
      </c>
      <c r="J19" s="118">
        <v>1</v>
      </c>
      <c r="K19" s="118"/>
      <c r="L19" s="118"/>
      <c r="M19" s="119"/>
      <c r="N19" s="120">
        <v>25</v>
      </c>
      <c r="O19" s="118">
        <v>0.7</v>
      </c>
      <c r="P19" s="122">
        <f>P18*3</f>
        <v>2603.5851557575761</v>
      </c>
      <c r="Q19" s="122">
        <f>HE_data!C31/400</f>
        <v>0.35100000000000003</v>
      </c>
      <c r="R19" s="308">
        <v>22</v>
      </c>
      <c r="S19" s="119">
        <f t="shared" si="0"/>
        <v>31.536000000000001</v>
      </c>
      <c r="T19" s="121">
        <f>'Surplus Heat'!C5/1000</f>
        <v>53.429170566125492</v>
      </c>
      <c r="U19" s="297">
        <v>5</v>
      </c>
      <c r="V19" s="122"/>
      <c r="Y19" s="58" t="s">
        <v>1326</v>
      </c>
      <c r="Z19" s="58" t="s">
        <v>1323</v>
      </c>
      <c r="AA19" s="58" t="s">
        <v>1324</v>
      </c>
      <c r="AB19" s="58" t="s">
        <v>484</v>
      </c>
      <c r="AC19" s="58" t="s">
        <v>562</v>
      </c>
      <c r="AD19" s="58" t="s">
        <v>1322</v>
      </c>
      <c r="AE19" s="58" t="s">
        <v>1327</v>
      </c>
      <c r="AF19" s="58"/>
    </row>
    <row r="20" spans="2:32" ht="15">
      <c r="B20" s="124" t="s">
        <v>1293</v>
      </c>
      <c r="C20" s="124" t="s">
        <v>1155</v>
      </c>
      <c r="D20" s="124" t="s">
        <v>1158</v>
      </c>
      <c r="E20" s="124"/>
      <c r="F20" s="124" t="s">
        <v>535</v>
      </c>
      <c r="G20" s="124" t="s">
        <v>1059</v>
      </c>
      <c r="H20" s="124">
        <v>2022</v>
      </c>
      <c r="I20" s="124">
        <v>0.5</v>
      </c>
      <c r="J20" s="124">
        <f>HP_data!C8/100</f>
        <v>4.5999999999999996</v>
      </c>
      <c r="K20" s="124"/>
      <c r="L20" s="124"/>
      <c r="M20" s="124"/>
      <c r="N20" s="124">
        <f>HP_data!C12</f>
        <v>25</v>
      </c>
      <c r="O20" s="337">
        <f>1-'40 Comp. hp, airsource 10 MW'!C9</f>
        <v>0.99</v>
      </c>
      <c r="P20" s="304">
        <f>HP_data!C28*1000</f>
        <v>856.24674070652816</v>
      </c>
      <c r="Q20" s="304">
        <f>Q19+HP_data!C32/1000</f>
        <v>2.351</v>
      </c>
      <c r="R20" s="304">
        <v>22</v>
      </c>
      <c r="S20" s="124">
        <f t="shared" si="0"/>
        <v>31.536000000000001</v>
      </c>
      <c r="T20" s="151">
        <v>15</v>
      </c>
      <c r="U20" s="125">
        <v>5</v>
      </c>
      <c r="V20" s="124"/>
      <c r="Z20" s="200"/>
      <c r="AA20" s="200"/>
      <c r="AB20" s="200"/>
      <c r="AC20" s="200"/>
      <c r="AD20" s="200"/>
      <c r="AE20" s="200"/>
      <c r="AF20" s="200"/>
    </row>
    <row r="21" spans="2:32" ht="15">
      <c r="B21" s="124"/>
      <c r="C21" s="124"/>
      <c r="D21" s="124"/>
      <c r="E21" s="100" t="s">
        <v>1003</v>
      </c>
      <c r="F21" s="124"/>
      <c r="G21" s="124"/>
      <c r="H21" s="124"/>
      <c r="I21" s="124"/>
      <c r="J21" s="124"/>
      <c r="K21" s="124"/>
      <c r="L21" s="124"/>
      <c r="M21" s="151">
        <f>1-1/(J20)</f>
        <v>0.78260869565217384</v>
      </c>
      <c r="N21" s="124"/>
      <c r="O21" s="124"/>
      <c r="P21" s="304"/>
      <c r="Q21" s="304"/>
      <c r="R21" s="304"/>
      <c r="S21" s="298"/>
      <c r="T21" s="124"/>
      <c r="U21" s="125"/>
      <c r="V21" s="124"/>
    </row>
    <row r="22" spans="2:32" ht="15">
      <c r="B22" s="117" t="str">
        <f>Z17</f>
        <v>DH_STG_HETD_N1</v>
      </c>
      <c r="C22" s="117" t="str">
        <f>AA17</f>
        <v>Thermal decentralised large water  tank</v>
      </c>
      <c r="D22" s="117" t="s">
        <v>485</v>
      </c>
      <c r="E22" s="117"/>
      <c r="F22" s="117" t="s">
        <v>485</v>
      </c>
      <c r="G22" s="117" t="s">
        <v>1059</v>
      </c>
      <c r="H22" s="117">
        <v>2022</v>
      </c>
      <c r="I22" s="117"/>
      <c r="J22" s="118"/>
      <c r="K22" s="118">
        <v>0.96</v>
      </c>
      <c r="L22" s="118">
        <v>0.68</v>
      </c>
      <c r="M22" s="119"/>
      <c r="N22" s="120">
        <v>40</v>
      </c>
      <c r="O22" s="118">
        <v>1</v>
      </c>
      <c r="P22" s="122">
        <v>823.6</v>
      </c>
      <c r="Q22" s="308">
        <v>2</v>
      </c>
      <c r="R22" s="308"/>
      <c r="S22" s="119">
        <v>1</v>
      </c>
      <c r="T22" s="121"/>
      <c r="U22" s="297"/>
      <c r="V22" s="122"/>
    </row>
    <row r="23" spans="2:32" ht="15">
      <c r="B23" s="117" t="str">
        <f>Z19</f>
        <v>DH_STG_HETC_N1</v>
      </c>
      <c r="C23" s="117" t="str">
        <f>AA19</f>
        <v>Thermal centralised underground water storage tank</v>
      </c>
      <c r="D23" t="s">
        <v>535</v>
      </c>
      <c r="F23" s="302" t="s">
        <v>535</v>
      </c>
      <c r="G23" s="117" t="s">
        <v>1059</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1252</v>
      </c>
      <c r="C1" s="270"/>
      <c r="D1" s="270"/>
      <c r="E1" s="270"/>
      <c r="F1" s="270"/>
      <c r="G1" s="270"/>
      <c r="H1" s="270"/>
      <c r="I1" s="270"/>
      <c r="J1" s="270"/>
      <c r="K1" s="270"/>
      <c r="L1" s="270"/>
      <c r="M1" s="270"/>
    </row>
    <row r="3" spans="1:13" ht="22.5" customHeight="1">
      <c r="A3" s="314" t="s">
        <v>656</v>
      </c>
      <c r="B3" s="314"/>
      <c r="C3" s="315" t="s">
        <v>1253</v>
      </c>
      <c r="D3" s="316"/>
      <c r="E3" s="316"/>
      <c r="F3" s="316"/>
      <c r="G3" s="316"/>
      <c r="H3" s="316"/>
      <c r="I3" s="316"/>
      <c r="J3" s="316"/>
      <c r="K3" s="316"/>
      <c r="L3" s="316"/>
      <c r="M3" s="316"/>
    </row>
    <row r="4" spans="1:13" ht="12.75" customHeight="1">
      <c r="A4" s="317" t="s">
        <v>654</v>
      </c>
      <c r="B4" s="317"/>
      <c r="C4" s="273">
        <v>2020</v>
      </c>
      <c r="D4" s="273">
        <v>2025</v>
      </c>
      <c r="E4" s="273">
        <v>2030</v>
      </c>
      <c r="F4" s="273">
        <v>2040</v>
      </c>
      <c r="G4" s="273">
        <v>2050</v>
      </c>
      <c r="H4" s="273">
        <v>2025</v>
      </c>
      <c r="I4" s="273">
        <v>2025</v>
      </c>
      <c r="J4" s="273">
        <v>2050</v>
      </c>
      <c r="K4" s="273">
        <v>2050</v>
      </c>
      <c r="L4" s="273" t="s">
        <v>653</v>
      </c>
      <c r="M4" s="273" t="s">
        <v>653</v>
      </c>
    </row>
    <row r="5" spans="1:13">
      <c r="A5" s="318" t="s">
        <v>652</v>
      </c>
      <c r="B5" s="318"/>
      <c r="C5" s="274" t="s">
        <v>651</v>
      </c>
      <c r="D5" s="274" t="s">
        <v>651</v>
      </c>
      <c r="E5" s="274" t="s">
        <v>651</v>
      </c>
      <c r="F5" s="274" t="s">
        <v>651</v>
      </c>
      <c r="G5" s="274" t="s">
        <v>651</v>
      </c>
      <c r="H5" s="273" t="s">
        <v>650</v>
      </c>
      <c r="I5" s="273" t="s">
        <v>649</v>
      </c>
      <c r="J5" s="273" t="s">
        <v>650</v>
      </c>
      <c r="K5" s="273" t="s">
        <v>649</v>
      </c>
      <c r="L5" s="273" t="s">
        <v>648</v>
      </c>
      <c r="M5" s="273" t="s">
        <v>647</v>
      </c>
    </row>
    <row r="6" spans="1:13">
      <c r="A6" s="275" t="s">
        <v>646</v>
      </c>
      <c r="B6" s="275" t="s">
        <v>645</v>
      </c>
      <c r="C6" s="273"/>
      <c r="D6" s="273"/>
      <c r="E6" s="273"/>
      <c r="F6" s="273"/>
      <c r="G6" s="273"/>
      <c r="H6" s="273"/>
      <c r="I6" s="273"/>
      <c r="J6" s="273"/>
      <c r="K6" s="273"/>
      <c r="L6" s="273"/>
      <c r="M6" s="273"/>
    </row>
    <row r="7" spans="1:13">
      <c r="A7" s="276" t="s">
        <v>644</v>
      </c>
      <c r="B7" s="276"/>
      <c r="C7" s="277"/>
      <c r="D7" s="277"/>
      <c r="E7" s="277"/>
      <c r="F7" s="277"/>
      <c r="G7" s="277"/>
      <c r="H7" s="277"/>
      <c r="I7" s="277"/>
      <c r="J7" s="277"/>
      <c r="K7" s="277"/>
      <c r="L7" s="277"/>
      <c r="M7" s="277"/>
    </row>
    <row r="8" spans="1:13">
      <c r="A8" s="277"/>
      <c r="B8" s="278" t="s">
        <v>1254</v>
      </c>
      <c r="C8" s="279">
        <v>400</v>
      </c>
      <c r="D8" s="279">
        <v>400</v>
      </c>
      <c r="E8" s="279">
        <v>400</v>
      </c>
      <c r="F8" s="279">
        <v>400</v>
      </c>
      <c r="G8" s="279">
        <v>400</v>
      </c>
      <c r="H8" s="279">
        <v>150</v>
      </c>
      <c r="I8" s="279">
        <v>500</v>
      </c>
      <c r="J8" s="279">
        <v>150</v>
      </c>
      <c r="K8" s="279">
        <v>500</v>
      </c>
      <c r="L8" s="279" t="s">
        <v>1255</v>
      </c>
      <c r="M8" s="279"/>
    </row>
    <row r="9" spans="1:13">
      <c r="A9" s="277"/>
      <c r="B9" s="278" t="s">
        <v>1256</v>
      </c>
      <c r="C9" s="280">
        <v>1</v>
      </c>
      <c r="D9" s="280">
        <v>1</v>
      </c>
      <c r="E9" s="280">
        <v>1</v>
      </c>
      <c r="F9" s="280">
        <v>1</v>
      </c>
      <c r="G9" s="280">
        <v>1</v>
      </c>
      <c r="H9" s="280">
        <v>1</v>
      </c>
      <c r="I9" s="280">
        <v>1</v>
      </c>
      <c r="J9" s="280">
        <v>1</v>
      </c>
      <c r="K9" s="280">
        <v>1</v>
      </c>
      <c r="L9" s="279"/>
      <c r="M9" s="279"/>
    </row>
    <row r="10" spans="1:13">
      <c r="A10" s="277"/>
      <c r="B10" s="278" t="s">
        <v>1257</v>
      </c>
      <c r="C10" s="280">
        <v>1</v>
      </c>
      <c r="D10" s="280">
        <v>1</v>
      </c>
      <c r="E10" s="280">
        <v>1</v>
      </c>
      <c r="F10" s="280">
        <v>1</v>
      </c>
      <c r="G10" s="280">
        <v>1</v>
      </c>
      <c r="H10" s="280">
        <v>1</v>
      </c>
      <c r="I10" s="280">
        <v>1</v>
      </c>
      <c r="J10" s="280">
        <v>1</v>
      </c>
      <c r="K10" s="280">
        <v>1</v>
      </c>
      <c r="L10" s="279"/>
      <c r="M10" s="279"/>
    </row>
    <row r="11" spans="1:13">
      <c r="A11" s="277"/>
      <c r="B11" s="278" t="s">
        <v>1258</v>
      </c>
      <c r="C11" s="280">
        <v>1</v>
      </c>
      <c r="D11" s="280">
        <v>1</v>
      </c>
      <c r="E11" s="280">
        <v>1</v>
      </c>
      <c r="F11" s="280">
        <v>1</v>
      </c>
      <c r="G11" s="280">
        <v>1</v>
      </c>
      <c r="H11" s="280">
        <v>0.98</v>
      </c>
      <c r="I11" s="280">
        <v>1</v>
      </c>
      <c r="J11" s="280">
        <v>0.98</v>
      </c>
      <c r="K11" s="280">
        <v>1</v>
      </c>
      <c r="L11" s="279" t="s">
        <v>1259</v>
      </c>
      <c r="M11" s="279"/>
    </row>
    <row r="12" spans="1:13">
      <c r="A12" s="277"/>
      <c r="B12" s="278" t="s">
        <v>1260</v>
      </c>
      <c r="C12" s="279">
        <v>600</v>
      </c>
      <c r="D12" s="279">
        <v>550</v>
      </c>
      <c r="E12" s="279">
        <v>500</v>
      </c>
      <c r="F12" s="279">
        <v>450</v>
      </c>
      <c r="G12" s="279">
        <v>400</v>
      </c>
      <c r="H12" s="279">
        <v>400</v>
      </c>
      <c r="I12" s="279">
        <v>1000</v>
      </c>
      <c r="J12" s="279">
        <v>250</v>
      </c>
      <c r="K12" s="279">
        <v>800</v>
      </c>
      <c r="L12" s="279" t="s">
        <v>772</v>
      </c>
      <c r="M12" s="279"/>
    </row>
    <row r="13" spans="1:13">
      <c r="A13" s="270"/>
      <c r="B13" s="278" t="s">
        <v>1261</v>
      </c>
      <c r="C13" s="279">
        <v>25</v>
      </c>
      <c r="D13" s="279">
        <v>25</v>
      </c>
      <c r="E13" s="279">
        <v>25</v>
      </c>
      <c r="F13" s="279">
        <v>25</v>
      </c>
      <c r="G13" s="279">
        <v>25</v>
      </c>
      <c r="H13" s="279">
        <v>20</v>
      </c>
      <c r="I13" s="279">
        <v>30</v>
      </c>
      <c r="J13" s="279">
        <v>20</v>
      </c>
      <c r="K13" s="279">
        <v>30</v>
      </c>
      <c r="L13" s="279"/>
      <c r="M13" s="279">
        <v>8</v>
      </c>
    </row>
    <row r="14" spans="1:13">
      <c r="A14" s="276" t="s">
        <v>1262</v>
      </c>
      <c r="B14" s="276"/>
      <c r="C14" s="281"/>
      <c r="D14" s="282"/>
      <c r="E14" s="282"/>
      <c r="F14" s="282"/>
      <c r="G14" s="282"/>
      <c r="H14" s="282"/>
      <c r="I14" s="282"/>
      <c r="J14" s="282"/>
      <c r="K14" s="282"/>
      <c r="L14" s="282"/>
      <c r="M14" s="282"/>
    </row>
    <row r="15" spans="1:13">
      <c r="A15" s="277"/>
      <c r="B15" s="278" t="s">
        <v>1263</v>
      </c>
      <c r="C15" s="279"/>
      <c r="D15" s="279"/>
      <c r="E15" s="279"/>
      <c r="F15" s="279"/>
      <c r="G15" s="279"/>
      <c r="H15" s="279"/>
      <c r="I15" s="279"/>
      <c r="J15" s="279"/>
      <c r="K15" s="279"/>
      <c r="L15" s="279"/>
      <c r="M15" s="279"/>
    </row>
    <row r="16" spans="1:13">
      <c r="A16" s="277"/>
      <c r="B16" s="278" t="s">
        <v>1264</v>
      </c>
      <c r="C16" s="279"/>
      <c r="D16" s="279"/>
      <c r="E16" s="279"/>
      <c r="F16" s="279"/>
      <c r="G16" s="279"/>
      <c r="H16" s="279"/>
      <c r="I16" s="279"/>
      <c r="J16" s="279"/>
      <c r="K16" s="279"/>
      <c r="L16" s="279"/>
      <c r="M16" s="279"/>
    </row>
    <row r="17" spans="1:13">
      <c r="A17" s="277"/>
      <c r="B17" s="278" t="s">
        <v>1265</v>
      </c>
      <c r="C17" s="279"/>
      <c r="D17" s="279"/>
      <c r="E17" s="279"/>
      <c r="F17" s="279"/>
      <c r="G17" s="279"/>
      <c r="H17" s="279"/>
      <c r="I17" s="279"/>
      <c r="J17" s="279"/>
      <c r="K17" s="279"/>
      <c r="L17" s="279"/>
      <c r="M17" s="279"/>
    </row>
    <row r="18" spans="1:13">
      <c r="A18" s="277"/>
      <c r="B18" s="278" t="s">
        <v>627</v>
      </c>
      <c r="C18" s="279"/>
      <c r="D18" s="279"/>
      <c r="E18" s="279"/>
      <c r="F18" s="279"/>
      <c r="G18" s="279"/>
      <c r="H18" s="279"/>
      <c r="I18" s="279"/>
      <c r="J18" s="279"/>
      <c r="K18" s="279"/>
      <c r="L18" s="279"/>
      <c r="M18" s="279"/>
    </row>
    <row r="19" spans="1:13">
      <c r="A19" s="277"/>
      <c r="B19" s="278" t="s">
        <v>626</v>
      </c>
      <c r="C19" s="279"/>
      <c r="D19" s="279"/>
      <c r="E19" s="279"/>
      <c r="F19" s="279"/>
      <c r="G19" s="279"/>
      <c r="H19" s="279"/>
      <c r="I19" s="279"/>
      <c r="J19" s="279"/>
      <c r="K19" s="279"/>
      <c r="L19" s="279"/>
      <c r="M19" s="279"/>
    </row>
    <row r="20" spans="1:13">
      <c r="A20" s="276" t="s">
        <v>625</v>
      </c>
      <c r="B20" s="276"/>
      <c r="C20" s="281"/>
      <c r="D20" s="282"/>
      <c r="E20" s="282"/>
      <c r="F20" s="282"/>
      <c r="G20" s="282"/>
      <c r="H20" s="282"/>
      <c r="I20" s="282"/>
      <c r="J20" s="282"/>
      <c r="K20" s="282"/>
      <c r="L20" s="282"/>
      <c r="M20" s="282"/>
    </row>
    <row r="21" spans="1:13">
      <c r="A21" s="277"/>
      <c r="B21" s="278" t="s">
        <v>1266</v>
      </c>
      <c r="C21" s="279"/>
      <c r="D21" s="279"/>
      <c r="E21" s="279"/>
      <c r="F21" s="279"/>
      <c r="G21" s="279"/>
      <c r="H21" s="279"/>
      <c r="I21" s="279"/>
      <c r="J21" s="279"/>
      <c r="K21" s="279"/>
      <c r="L21" s="279"/>
      <c r="M21" s="279"/>
    </row>
    <row r="22" spans="1:13">
      <c r="A22" s="277"/>
      <c r="B22" s="283" t="s">
        <v>1267</v>
      </c>
      <c r="C22" s="279"/>
      <c r="D22" s="279"/>
      <c r="E22" s="279"/>
      <c r="F22" s="279"/>
      <c r="G22" s="279"/>
      <c r="H22" s="279"/>
      <c r="I22" s="279"/>
      <c r="J22" s="279"/>
      <c r="K22" s="279"/>
      <c r="L22" s="279"/>
      <c r="M22" s="279"/>
    </row>
    <row r="23" spans="1:13">
      <c r="A23" s="277"/>
      <c r="B23" s="283" t="s">
        <v>1268</v>
      </c>
      <c r="C23" s="279"/>
      <c r="D23" s="279"/>
      <c r="E23" s="279"/>
      <c r="F23" s="279"/>
      <c r="G23" s="279"/>
      <c r="H23" s="279"/>
      <c r="I23" s="279"/>
      <c r="J23" s="279"/>
      <c r="K23" s="279"/>
      <c r="L23" s="279"/>
      <c r="M23" s="279"/>
    </row>
    <row r="24" spans="1:13">
      <c r="A24" s="277"/>
      <c r="B24" s="283" t="s">
        <v>622</v>
      </c>
      <c r="C24" s="279"/>
      <c r="D24" s="279"/>
      <c r="E24" s="279"/>
      <c r="F24" s="279"/>
      <c r="G24" s="279"/>
      <c r="H24" s="279"/>
      <c r="I24" s="279"/>
      <c r="J24" s="279"/>
      <c r="K24" s="279"/>
      <c r="L24" s="279"/>
      <c r="M24" s="279"/>
    </row>
    <row r="25" spans="1:13">
      <c r="A25" s="277"/>
      <c r="B25" s="283" t="s">
        <v>621</v>
      </c>
      <c r="C25" s="279"/>
      <c r="D25" s="279"/>
      <c r="E25" s="279"/>
      <c r="F25" s="279"/>
      <c r="G25" s="279"/>
      <c r="H25" s="279"/>
      <c r="I25" s="279"/>
      <c r="J25" s="279"/>
      <c r="K25" s="279"/>
      <c r="L25" s="279"/>
      <c r="M25" s="279"/>
    </row>
    <row r="26" spans="1:13">
      <c r="A26" s="276" t="s">
        <v>620</v>
      </c>
      <c r="B26" s="276"/>
      <c r="C26" s="281"/>
      <c r="D26" s="282"/>
      <c r="E26" s="282"/>
      <c r="F26" s="282"/>
      <c r="G26" s="282"/>
      <c r="H26" s="282"/>
      <c r="I26" s="282"/>
      <c r="J26" s="282"/>
      <c r="K26" s="282"/>
      <c r="L26" s="282"/>
      <c r="M26" s="282"/>
    </row>
    <row r="27" spans="1:13">
      <c r="A27" s="270"/>
      <c r="B27" s="283" t="s">
        <v>1269</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628</v>
      </c>
      <c r="M27" s="279" t="s">
        <v>1270</v>
      </c>
    </row>
    <row r="28" spans="1:13">
      <c r="A28" s="270"/>
      <c r="B28" s="283" t="s">
        <v>1271</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1272</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1273</v>
      </c>
      <c r="C30" s="280">
        <v>4</v>
      </c>
      <c r="D30" s="280">
        <v>4</v>
      </c>
      <c r="E30" s="280">
        <v>4</v>
      </c>
      <c r="F30" s="280">
        <v>4</v>
      </c>
      <c r="G30" s="280">
        <v>4</v>
      </c>
      <c r="H30" s="280">
        <v>4</v>
      </c>
      <c r="I30" s="280">
        <v>4</v>
      </c>
      <c r="J30" s="280">
        <v>4</v>
      </c>
      <c r="K30" s="280">
        <v>4</v>
      </c>
      <c r="L30" s="279" t="s">
        <v>1274</v>
      </c>
      <c r="M30" s="280"/>
    </row>
    <row r="31" spans="1:13">
      <c r="A31" s="277"/>
      <c r="B31" s="278" t="s">
        <v>1275</v>
      </c>
      <c r="C31" s="285">
        <v>140.4</v>
      </c>
      <c r="D31" s="285">
        <v>143.25</v>
      </c>
      <c r="E31" s="285">
        <v>144.5</v>
      </c>
      <c r="F31" s="285">
        <v>138.55000000000001</v>
      </c>
      <c r="G31" s="285">
        <v>131.80000000000001</v>
      </c>
      <c r="H31" s="285">
        <v>110.5</v>
      </c>
      <c r="I31" s="285">
        <v>201.5</v>
      </c>
      <c r="J31" s="285">
        <v>94.25</v>
      </c>
      <c r="K31" s="285">
        <v>198.60000000000002</v>
      </c>
      <c r="L31" s="280" t="s">
        <v>704</v>
      </c>
      <c r="M31" s="279"/>
    </row>
    <row r="32" spans="1:13">
      <c r="A32" s="270"/>
      <c r="B32" s="278" t="s">
        <v>1276</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1277</v>
      </c>
      <c r="C33" s="287">
        <v>99</v>
      </c>
      <c r="D33" s="287">
        <v>96.5</v>
      </c>
      <c r="E33" s="287">
        <v>94</v>
      </c>
      <c r="F33" s="287">
        <v>89.5</v>
      </c>
      <c r="G33" s="287">
        <v>85</v>
      </c>
      <c r="H33" s="287">
        <v>76.5</v>
      </c>
      <c r="I33" s="287">
        <v>116.5</v>
      </c>
      <c r="J33" s="287">
        <v>65</v>
      </c>
      <c r="K33" s="287">
        <v>105</v>
      </c>
      <c r="L33" s="280"/>
      <c r="M33" s="280"/>
    </row>
    <row r="34" spans="1:13">
      <c r="A34" s="277"/>
      <c r="B34" s="278" t="s">
        <v>1278</v>
      </c>
      <c r="C34" s="285">
        <v>0</v>
      </c>
      <c r="D34" s="285">
        <v>0</v>
      </c>
      <c r="E34" s="285">
        <v>0</v>
      </c>
      <c r="F34" s="285">
        <v>0</v>
      </c>
      <c r="G34" s="285">
        <v>0</v>
      </c>
      <c r="H34" s="285">
        <v>0</v>
      </c>
      <c r="I34" s="285">
        <v>0</v>
      </c>
      <c r="J34" s="285">
        <v>0</v>
      </c>
      <c r="K34" s="285">
        <v>0</v>
      </c>
      <c r="L34" s="279"/>
      <c r="M34" s="279"/>
    </row>
    <row r="35" spans="1:13">
      <c r="A35" s="288" t="s">
        <v>1214</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567</v>
      </c>
      <c r="B38" s="270"/>
      <c r="C38" s="270"/>
      <c r="D38" s="270"/>
      <c r="E38" s="270"/>
      <c r="F38" s="270"/>
      <c r="G38" s="270"/>
      <c r="H38" s="270"/>
      <c r="I38" s="270"/>
      <c r="J38" s="270"/>
      <c r="K38" s="270"/>
      <c r="L38" s="280"/>
      <c r="M38" s="280"/>
    </row>
    <row r="39" spans="1:13">
      <c r="A39" s="280"/>
      <c r="B39" s="272" t="s">
        <v>1279</v>
      </c>
      <c r="C39" s="270"/>
      <c r="D39" s="270"/>
      <c r="E39" s="270"/>
      <c r="F39" s="270"/>
      <c r="G39" s="270"/>
      <c r="H39" s="270"/>
      <c r="I39" s="270"/>
      <c r="J39" s="270"/>
      <c r="K39" s="270"/>
      <c r="L39" s="270"/>
      <c r="M39" s="270"/>
    </row>
    <row r="40" spans="1:13">
      <c r="A40" s="280"/>
      <c r="B40" s="272" t="s">
        <v>1280</v>
      </c>
      <c r="C40" s="270"/>
      <c r="D40" s="270"/>
      <c r="E40" s="270"/>
      <c r="F40" s="270"/>
      <c r="G40" s="270"/>
      <c r="H40" s="270"/>
      <c r="I40" s="270"/>
      <c r="J40" s="270"/>
      <c r="K40" s="270"/>
      <c r="L40" s="270"/>
      <c r="M40" s="270"/>
    </row>
    <row r="41" spans="1:13">
      <c r="A41" s="280"/>
      <c r="B41" s="272" t="s">
        <v>1281</v>
      </c>
      <c r="C41" s="270"/>
      <c r="D41" s="270"/>
      <c r="E41" s="270"/>
      <c r="F41" s="270"/>
      <c r="G41" s="270"/>
      <c r="H41" s="270"/>
      <c r="I41" s="270"/>
      <c r="J41" s="270"/>
      <c r="K41" s="270"/>
      <c r="L41" s="270"/>
      <c r="M41" s="270"/>
    </row>
    <row r="42" spans="1:13">
      <c r="A42" s="280"/>
      <c r="B42" s="272" t="s">
        <v>1282</v>
      </c>
      <c r="C42" s="270"/>
      <c r="D42" s="270"/>
      <c r="E42" s="270"/>
      <c r="F42" s="270"/>
      <c r="G42" s="270"/>
      <c r="H42" s="270"/>
      <c r="I42" s="270"/>
      <c r="J42" s="270"/>
      <c r="K42" s="270"/>
      <c r="L42" s="270"/>
      <c r="M42" s="270"/>
    </row>
    <row r="43" spans="1:13">
      <c r="A43" s="280"/>
      <c r="B43" s="272" t="s">
        <v>1283</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589</v>
      </c>
      <c r="B45" s="270"/>
      <c r="C45" s="270"/>
      <c r="D45" s="270"/>
      <c r="E45" s="270"/>
      <c r="F45" s="270"/>
      <c r="G45" s="270"/>
      <c r="H45" s="270"/>
      <c r="I45" s="270"/>
      <c r="J45" s="270"/>
      <c r="K45" s="270"/>
      <c r="L45" s="270"/>
      <c r="M45" s="270"/>
    </row>
    <row r="46" spans="1:13">
      <c r="A46" s="280"/>
      <c r="B46" s="272" t="s">
        <v>1284</v>
      </c>
      <c r="C46" s="270"/>
      <c r="D46" s="270"/>
      <c r="E46" s="270"/>
      <c r="F46" s="270"/>
      <c r="G46" s="270"/>
      <c r="H46" s="270"/>
      <c r="I46" s="270"/>
      <c r="J46" s="270"/>
      <c r="K46" s="270"/>
      <c r="L46" s="270"/>
      <c r="M46" s="270"/>
    </row>
    <row r="47" spans="1:13">
      <c r="A47" s="280"/>
      <c r="B47" s="272" t="s">
        <v>1285</v>
      </c>
      <c r="C47" s="270"/>
      <c r="D47" s="270"/>
      <c r="E47" s="270"/>
      <c r="F47" s="270"/>
      <c r="G47" s="270"/>
      <c r="H47" s="270"/>
      <c r="I47" s="270"/>
      <c r="J47" s="270"/>
      <c r="K47" s="270"/>
      <c r="L47" s="270"/>
      <c r="M47" s="270"/>
    </row>
    <row r="48" spans="1:13">
      <c r="A48" s="280"/>
      <c r="B48" s="272" t="s">
        <v>1286</v>
      </c>
      <c r="C48" s="270"/>
      <c r="D48" s="270"/>
      <c r="E48" s="270"/>
      <c r="F48" s="270"/>
      <c r="G48" s="270"/>
      <c r="H48" s="270"/>
      <c r="I48" s="270"/>
      <c r="J48" s="270"/>
      <c r="K48" s="270"/>
      <c r="L48" s="270"/>
      <c r="M48" s="270"/>
    </row>
    <row r="49" spans="1:13">
      <c r="A49" s="280"/>
      <c r="B49" s="272" t="s">
        <v>1287</v>
      </c>
      <c r="C49" s="259"/>
      <c r="D49" s="259"/>
      <c r="E49" s="259"/>
      <c r="F49" s="259"/>
      <c r="G49" s="259"/>
      <c r="H49" s="259"/>
      <c r="I49" s="259"/>
      <c r="J49" s="259"/>
      <c r="K49" s="259"/>
      <c r="L49" s="259"/>
      <c r="M49" s="259"/>
    </row>
    <row r="50" spans="1:13">
      <c r="A50" s="280"/>
      <c r="B50" s="272" t="s">
        <v>1288</v>
      </c>
      <c r="C50" s="259"/>
      <c r="D50" s="259"/>
      <c r="E50" s="259"/>
      <c r="F50" s="259"/>
      <c r="G50" s="259"/>
      <c r="H50" s="259"/>
      <c r="I50" s="259"/>
      <c r="J50" s="259"/>
      <c r="K50" s="259"/>
      <c r="L50" s="259"/>
      <c r="M50" s="259"/>
    </row>
    <row r="51" spans="1:13">
      <c r="A51" s="280"/>
      <c r="B51" s="272" t="s">
        <v>1289</v>
      </c>
      <c r="C51" s="259"/>
      <c r="D51" s="259"/>
      <c r="E51" s="259"/>
      <c r="F51" s="259"/>
      <c r="G51" s="259"/>
      <c r="H51" s="259"/>
      <c r="I51" s="259"/>
      <c r="J51" s="259"/>
      <c r="K51" s="259"/>
      <c r="L51" s="259"/>
      <c r="M51" s="259"/>
    </row>
    <row r="52" spans="1:13">
      <c r="A52" s="280"/>
      <c r="B52" s="272" t="s">
        <v>1290</v>
      </c>
      <c r="C52" s="260"/>
      <c r="D52" s="260"/>
      <c r="E52" s="260"/>
      <c r="F52" s="260"/>
      <c r="G52" s="260"/>
      <c r="H52" s="260"/>
      <c r="I52" s="260"/>
      <c r="J52" s="260"/>
      <c r="K52" s="260"/>
      <c r="L52" s="260"/>
      <c r="M52" s="260"/>
    </row>
    <row r="53" spans="1:13">
      <c r="A53" s="280"/>
      <c r="B53" s="272" t="s">
        <v>1291</v>
      </c>
      <c r="C53" s="259"/>
      <c r="D53" s="259"/>
      <c r="E53" s="259"/>
      <c r="F53" s="259"/>
      <c r="G53" s="259"/>
      <c r="H53" s="259"/>
      <c r="I53" s="259"/>
      <c r="J53" s="259"/>
      <c r="K53" s="259"/>
      <c r="L53" s="259"/>
      <c r="M53" s="259"/>
    </row>
    <row r="54" spans="1:13">
      <c r="A54" s="280"/>
      <c r="B54" s="272" t="s">
        <v>1292</v>
      </c>
      <c r="C54" s="259"/>
      <c r="D54" s="259"/>
      <c r="E54" s="259"/>
      <c r="F54" s="259"/>
      <c r="G54" s="259"/>
      <c r="H54" s="259"/>
      <c r="I54" s="259"/>
      <c r="J54" s="259"/>
      <c r="K54" s="259"/>
      <c r="L54" s="259"/>
      <c r="M54" s="259"/>
    </row>
    <row r="55" spans="1:13">
      <c r="A55" s="259" t="s">
        <v>840</v>
      </c>
      <c r="B55" s="313" t="s">
        <v>1231</v>
      </c>
      <c r="C55" s="313"/>
      <c r="D55" s="313"/>
      <c r="E55" s="313"/>
      <c r="F55" s="313"/>
      <c r="G55" s="313"/>
      <c r="H55" s="313"/>
      <c r="I55" s="313"/>
      <c r="J55" s="313"/>
      <c r="K55" s="313"/>
      <c r="L55" s="313"/>
      <c r="M55" s="313"/>
    </row>
    <row r="56" spans="1:13">
      <c r="A56" s="256" t="s">
        <v>614</v>
      </c>
      <c r="B56" s="256" t="s">
        <v>1232</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1233</v>
      </c>
      <c r="B58" s="256"/>
      <c r="C58" s="262"/>
      <c r="D58" s="262"/>
      <c r="E58" s="262"/>
      <c r="F58" s="262"/>
      <c r="G58" s="262"/>
      <c r="H58" s="262"/>
      <c r="I58" s="262"/>
      <c r="J58" s="262"/>
      <c r="K58" s="262"/>
      <c r="L58" s="262"/>
      <c r="M58" s="262"/>
    </row>
    <row r="59" spans="1:13">
      <c r="A59" s="262">
        <v>1</v>
      </c>
      <c r="B59" s="262" t="s">
        <v>1234</v>
      </c>
      <c r="C59" s="262"/>
      <c r="D59" s="262"/>
      <c r="E59" s="262"/>
      <c r="F59" s="262"/>
      <c r="G59" s="262"/>
      <c r="H59" s="262"/>
      <c r="I59" s="262"/>
      <c r="J59" s="262"/>
      <c r="K59" s="262"/>
      <c r="L59" s="262"/>
      <c r="M59" s="262"/>
    </row>
    <row r="60" spans="1:13">
      <c r="A60" s="262">
        <v>2</v>
      </c>
      <c r="B60" s="263" t="s">
        <v>1235</v>
      </c>
      <c r="C60" s="262"/>
      <c r="D60" s="262"/>
      <c r="E60" s="262"/>
      <c r="F60" s="262"/>
      <c r="G60" s="262"/>
      <c r="H60" s="262"/>
      <c r="I60" s="262"/>
      <c r="J60" s="262"/>
      <c r="K60" s="262"/>
      <c r="L60" s="262"/>
      <c r="M60" s="262"/>
    </row>
    <row r="61" spans="1:13">
      <c r="A61" s="262">
        <v>3</v>
      </c>
      <c r="B61" s="262" t="s">
        <v>1236</v>
      </c>
      <c r="C61" s="264"/>
      <c r="D61" s="264"/>
      <c r="E61" s="264"/>
      <c r="F61" s="264"/>
      <c r="G61" s="264"/>
      <c r="H61" s="264"/>
      <c r="I61" s="264"/>
      <c r="J61" s="264"/>
      <c r="K61" s="264"/>
      <c r="L61" s="264"/>
      <c r="M61" s="264"/>
    </row>
    <row r="62" spans="1:13">
      <c r="A62" s="262">
        <v>4</v>
      </c>
      <c r="B62" s="262" t="s">
        <v>1237</v>
      </c>
      <c r="C62" s="264"/>
      <c r="D62" s="264"/>
      <c r="E62" s="264"/>
      <c r="F62" s="264"/>
      <c r="G62" s="264"/>
      <c r="H62" s="264"/>
      <c r="I62" s="264"/>
      <c r="J62" s="264"/>
      <c r="K62" s="264"/>
      <c r="L62" s="264"/>
      <c r="M62" s="264"/>
    </row>
    <row r="63" spans="1:13">
      <c r="A63" s="262">
        <v>5</v>
      </c>
      <c r="B63" s="262" t="s">
        <v>1238</v>
      </c>
      <c r="C63" s="264"/>
      <c r="D63" s="264"/>
      <c r="E63" s="264"/>
      <c r="F63" s="264"/>
      <c r="G63" s="264"/>
      <c r="H63" s="264"/>
      <c r="I63" s="264"/>
      <c r="J63" s="264"/>
      <c r="K63" s="264"/>
      <c r="L63" s="264"/>
      <c r="M63" s="264"/>
    </row>
    <row r="64" spans="1:13">
      <c r="A64" s="262">
        <v>6</v>
      </c>
      <c r="B64" s="265" t="s">
        <v>1239</v>
      </c>
      <c r="C64" s="257"/>
      <c r="D64" s="257"/>
      <c r="E64" s="257"/>
      <c r="F64" s="257"/>
      <c r="G64" s="257"/>
      <c r="H64" s="257"/>
      <c r="I64" s="257"/>
      <c r="J64" s="257"/>
      <c r="K64" s="257"/>
      <c r="L64" s="257"/>
      <c r="M64" s="257"/>
    </row>
    <row r="65" spans="1:13">
      <c r="A65" s="262">
        <v>7</v>
      </c>
      <c r="B65" s="257" t="s">
        <v>1240</v>
      </c>
      <c r="C65" s="257"/>
      <c r="D65" s="257"/>
      <c r="E65" s="257"/>
      <c r="F65" s="257"/>
      <c r="G65" s="257"/>
      <c r="H65" s="257"/>
      <c r="I65" s="257"/>
      <c r="J65" s="257"/>
      <c r="K65" s="257"/>
      <c r="L65" s="257"/>
      <c r="M65" s="257"/>
    </row>
    <row r="66" spans="1:13">
      <c r="A66" s="262">
        <v>8</v>
      </c>
      <c r="B66" s="257" t="s">
        <v>1241</v>
      </c>
      <c r="C66" s="257"/>
      <c r="D66" s="257"/>
      <c r="E66" s="257"/>
      <c r="F66" s="257"/>
      <c r="G66" s="257"/>
      <c r="H66" s="257"/>
      <c r="I66" s="257"/>
      <c r="J66" s="257"/>
      <c r="K66" s="257"/>
      <c r="L66" s="257"/>
      <c r="M66" s="257"/>
    </row>
    <row r="67" spans="1:13">
      <c r="A67" s="262">
        <v>9</v>
      </c>
      <c r="B67" s="257" t="s">
        <v>1242</v>
      </c>
      <c r="C67" s="257"/>
      <c r="D67" s="257"/>
      <c r="E67" s="257"/>
      <c r="F67" s="257"/>
      <c r="G67" s="257"/>
      <c r="H67" s="257"/>
      <c r="I67" s="257"/>
      <c r="J67" s="257"/>
      <c r="K67" s="257"/>
      <c r="L67" s="257"/>
      <c r="M67" s="257"/>
    </row>
    <row r="68" spans="1:13">
      <c r="A68" s="262">
        <v>10</v>
      </c>
      <c r="B68" s="257" t="s">
        <v>1243</v>
      </c>
      <c r="C68" s="257"/>
      <c r="D68" s="257"/>
      <c r="E68" s="257"/>
      <c r="F68" s="257"/>
      <c r="G68" s="257"/>
      <c r="H68" s="257"/>
      <c r="I68" s="257"/>
      <c r="J68" s="257"/>
      <c r="K68" s="257"/>
      <c r="L68" s="257"/>
      <c r="M68" s="257"/>
    </row>
    <row r="69" spans="1:13">
      <c r="A69" s="262">
        <v>11</v>
      </c>
      <c r="B69" s="257" t="s">
        <v>1244</v>
      </c>
      <c r="C69" s="254"/>
      <c r="D69" s="254"/>
      <c r="E69" s="254"/>
      <c r="F69" s="254"/>
      <c r="G69" s="254"/>
      <c r="H69" s="254"/>
      <c r="I69" s="254"/>
      <c r="J69" s="254"/>
      <c r="K69" s="254"/>
      <c r="L69" s="254"/>
      <c r="M69" s="254"/>
    </row>
    <row r="70" spans="1:13">
      <c r="A70" s="262">
        <v>12</v>
      </c>
      <c r="B70" s="255" t="s">
        <v>1245</v>
      </c>
      <c r="C70" s="254"/>
      <c r="D70" s="254"/>
      <c r="E70" s="254"/>
      <c r="F70" s="254"/>
      <c r="G70" s="254"/>
      <c r="H70" s="254"/>
      <c r="I70" s="254"/>
      <c r="J70" s="254"/>
      <c r="K70" s="254"/>
      <c r="L70" s="254"/>
      <c r="M70" s="254"/>
    </row>
    <row r="71" spans="1:13">
      <c r="A71" s="262">
        <v>13</v>
      </c>
      <c r="B71" s="255" t="s">
        <v>1246</v>
      </c>
      <c r="C71" s="254"/>
      <c r="D71" s="254"/>
      <c r="E71" s="254"/>
      <c r="F71" s="254"/>
      <c r="G71" s="254"/>
      <c r="H71" s="254"/>
      <c r="I71" s="254"/>
      <c r="J71" s="254"/>
      <c r="K71" s="254"/>
      <c r="L71" s="254"/>
      <c r="M71" s="254"/>
    </row>
    <row r="72" spans="1:13">
      <c r="A72" s="262">
        <v>14</v>
      </c>
      <c r="B72" s="255" t="s">
        <v>1247</v>
      </c>
      <c r="C72" s="254"/>
      <c r="D72" s="254"/>
      <c r="E72" s="254"/>
      <c r="F72" s="254"/>
      <c r="G72" s="254"/>
      <c r="H72" s="254"/>
      <c r="I72" s="254"/>
      <c r="J72" s="254"/>
      <c r="K72" s="254"/>
      <c r="L72" s="254"/>
      <c r="M72" s="254"/>
    </row>
    <row r="73" spans="1:13">
      <c r="A73" s="262">
        <v>15</v>
      </c>
      <c r="B73" s="255" t="s">
        <v>1248</v>
      </c>
      <c r="C73" s="254"/>
      <c r="D73" s="254"/>
      <c r="E73" s="254"/>
      <c r="F73" s="254"/>
      <c r="G73" s="254"/>
      <c r="H73" s="254"/>
      <c r="I73" s="254"/>
      <c r="J73" s="254"/>
      <c r="K73" s="254"/>
      <c r="L73" s="254"/>
      <c r="M73" s="254"/>
    </row>
    <row r="74" spans="1:13">
      <c r="A74" s="262">
        <v>16</v>
      </c>
      <c r="B74" s="255" t="s">
        <v>1249</v>
      </c>
      <c r="C74" s="254"/>
      <c r="D74" s="254"/>
      <c r="E74" s="254"/>
      <c r="F74" s="254"/>
      <c r="G74" s="254"/>
      <c r="H74" s="254"/>
      <c r="I74" s="254"/>
      <c r="J74" s="254"/>
      <c r="K74" s="254"/>
      <c r="L74" s="254"/>
      <c r="M74" s="254"/>
    </row>
    <row r="75" spans="1:13">
      <c r="A75" s="262">
        <v>17</v>
      </c>
      <c r="B75" s="255" t="s">
        <v>1250</v>
      </c>
      <c r="C75" s="254"/>
      <c r="D75" s="254"/>
      <c r="E75" s="254"/>
      <c r="F75" s="254"/>
      <c r="G75" s="254"/>
      <c r="H75" s="254"/>
      <c r="I75" s="254"/>
      <c r="J75" s="254"/>
      <c r="K75" s="254"/>
      <c r="L75" s="254"/>
      <c r="M75" s="254"/>
    </row>
    <row r="76" spans="1:13">
      <c r="A76" s="262">
        <v>18</v>
      </c>
      <c r="B76" s="255" t="s">
        <v>1251</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topLeftCell="A18" workbookViewId="0"/>
  </sheetViews>
  <sheetFormatPr defaultRowHeight="12.75"/>
  <sheetData>
    <row r="1" spans="1:13">
      <c r="A1" s="202"/>
      <c r="B1" s="204" t="s">
        <v>1159</v>
      </c>
      <c r="C1" s="204"/>
      <c r="D1" s="202"/>
      <c r="E1" s="202"/>
      <c r="F1" s="202"/>
      <c r="G1" s="202"/>
      <c r="H1" s="202"/>
      <c r="I1" s="202"/>
      <c r="J1" s="202"/>
      <c r="K1" s="202"/>
      <c r="L1" s="202"/>
      <c r="M1" s="202"/>
    </row>
    <row r="2" spans="1:13">
      <c r="A2" s="201"/>
    </row>
    <row r="3" spans="1:13" ht="72">
      <c r="A3" s="205"/>
      <c r="B3" s="206" t="s">
        <v>656</v>
      </c>
      <c r="C3" s="249" t="s">
        <v>1160</v>
      </c>
      <c r="D3" s="250"/>
      <c r="E3" s="250"/>
      <c r="F3" s="250"/>
      <c r="G3" s="250"/>
      <c r="H3" s="250"/>
      <c r="I3" s="250"/>
      <c r="J3" s="250"/>
      <c r="K3" s="250"/>
      <c r="L3" s="250"/>
      <c r="M3" s="251"/>
    </row>
    <row r="4" spans="1:13" ht="22.5">
      <c r="A4" s="205"/>
      <c r="B4" s="207"/>
      <c r="C4" s="208">
        <v>2020</v>
      </c>
      <c r="D4" s="208">
        <v>2025</v>
      </c>
      <c r="E4" s="208">
        <v>2030</v>
      </c>
      <c r="F4" s="208">
        <v>2040</v>
      </c>
      <c r="G4" s="208">
        <v>2050</v>
      </c>
      <c r="H4" s="252" t="s">
        <v>1161</v>
      </c>
      <c r="I4" s="253"/>
      <c r="J4" s="252" t="s">
        <v>1162</v>
      </c>
      <c r="K4" s="253"/>
      <c r="L4" s="208" t="s">
        <v>1163</v>
      </c>
      <c r="M4" s="208" t="s">
        <v>1164</v>
      </c>
    </row>
    <row r="5" spans="1:13" ht="33.75">
      <c r="A5" s="205"/>
      <c r="B5" s="209" t="s">
        <v>644</v>
      </c>
      <c r="C5" s="210"/>
      <c r="D5" s="210"/>
      <c r="E5" s="210"/>
      <c r="F5" s="210"/>
      <c r="G5" s="210"/>
      <c r="H5" s="211" t="s">
        <v>1165</v>
      </c>
      <c r="I5" s="211" t="s">
        <v>1166</v>
      </c>
      <c r="J5" s="211" t="s">
        <v>1165</v>
      </c>
      <c r="K5" s="211" t="s">
        <v>1166</v>
      </c>
      <c r="L5" s="210"/>
      <c r="M5" s="212"/>
    </row>
    <row r="6" spans="1:13" ht="56.25">
      <c r="A6" s="205"/>
      <c r="B6" s="213" t="s">
        <v>1167</v>
      </c>
      <c r="C6" s="214">
        <v>3</v>
      </c>
      <c r="D6" s="214">
        <v>3</v>
      </c>
      <c r="E6" s="214">
        <v>3</v>
      </c>
      <c r="F6" s="214">
        <v>3</v>
      </c>
      <c r="G6" s="214">
        <v>3</v>
      </c>
      <c r="H6" s="214">
        <v>1.5</v>
      </c>
      <c r="I6" s="215">
        <v>5</v>
      </c>
      <c r="J6" s="216">
        <v>1.5</v>
      </c>
      <c r="K6" s="216">
        <v>5</v>
      </c>
      <c r="L6" s="217"/>
      <c r="M6" s="218"/>
    </row>
    <row r="7" spans="1:13" ht="45">
      <c r="A7" s="205"/>
      <c r="B7" s="213" t="s">
        <v>1168</v>
      </c>
      <c r="C7" s="219">
        <v>450</v>
      </c>
      <c r="D7" s="219">
        <v>460</v>
      </c>
      <c r="E7" s="219">
        <v>470</v>
      </c>
      <c r="F7" s="219">
        <v>480</v>
      </c>
      <c r="G7" s="219">
        <v>490</v>
      </c>
      <c r="H7" s="219">
        <v>440</v>
      </c>
      <c r="I7" s="219">
        <v>480</v>
      </c>
      <c r="J7" s="219">
        <v>450</v>
      </c>
      <c r="K7" s="219">
        <v>510</v>
      </c>
      <c r="L7" s="220" t="s">
        <v>1169</v>
      </c>
      <c r="M7" s="221" t="s">
        <v>1170</v>
      </c>
    </row>
    <row r="8" spans="1:13" ht="56.25">
      <c r="A8" s="205"/>
      <c r="B8" s="222" t="s">
        <v>1171</v>
      </c>
      <c r="C8" s="223">
        <v>460</v>
      </c>
      <c r="D8" s="223">
        <v>470</v>
      </c>
      <c r="E8" s="223">
        <v>480</v>
      </c>
      <c r="F8" s="223">
        <v>490</v>
      </c>
      <c r="G8" s="223">
        <v>500</v>
      </c>
      <c r="H8" s="223">
        <v>450</v>
      </c>
      <c r="I8" s="223">
        <v>490</v>
      </c>
      <c r="J8" s="223">
        <v>460</v>
      </c>
      <c r="K8" s="223">
        <v>520</v>
      </c>
      <c r="L8" s="224" t="s">
        <v>1172</v>
      </c>
      <c r="M8" s="221" t="s">
        <v>1170</v>
      </c>
    </row>
    <row r="9" spans="1:13" ht="56.25">
      <c r="A9" s="205"/>
      <c r="B9" s="213" t="s">
        <v>1173</v>
      </c>
      <c r="C9" s="225">
        <v>1</v>
      </c>
      <c r="D9" s="225">
        <v>1</v>
      </c>
      <c r="E9" s="225">
        <v>1</v>
      </c>
      <c r="F9" s="225">
        <v>1</v>
      </c>
      <c r="G9" s="223">
        <v>1</v>
      </c>
      <c r="H9" s="223">
        <v>1</v>
      </c>
      <c r="I9" s="223">
        <v>1</v>
      </c>
      <c r="J9" s="223">
        <v>1</v>
      </c>
      <c r="K9" s="223">
        <v>1</v>
      </c>
      <c r="L9" s="224" t="s">
        <v>704</v>
      </c>
      <c r="M9" s="221" t="s">
        <v>1170</v>
      </c>
    </row>
    <row r="10" spans="1:13" ht="22.5">
      <c r="A10" s="205"/>
      <c r="B10" s="213" t="s">
        <v>1174</v>
      </c>
      <c r="C10" s="223">
        <v>0</v>
      </c>
      <c r="D10" s="223">
        <v>0</v>
      </c>
      <c r="E10" s="223">
        <v>0</v>
      </c>
      <c r="F10" s="223">
        <v>0</v>
      </c>
      <c r="G10" s="223">
        <v>0</v>
      </c>
      <c r="H10" s="223">
        <v>0</v>
      </c>
      <c r="I10" s="223">
        <v>5</v>
      </c>
      <c r="J10" s="223">
        <v>0</v>
      </c>
      <c r="K10" s="223">
        <v>5</v>
      </c>
      <c r="L10" s="224"/>
      <c r="M10" s="221" t="s">
        <v>1170</v>
      </c>
    </row>
    <row r="11" spans="1:13" ht="45">
      <c r="A11" s="205"/>
      <c r="B11" s="207" t="s">
        <v>1175</v>
      </c>
      <c r="C11" s="218">
        <v>1</v>
      </c>
      <c r="D11" s="218">
        <v>1</v>
      </c>
      <c r="E11" s="218">
        <v>1</v>
      </c>
      <c r="F11" s="218">
        <v>1</v>
      </c>
      <c r="G11" s="218">
        <v>1</v>
      </c>
      <c r="H11" s="218" t="s">
        <v>1176</v>
      </c>
      <c r="I11" s="218">
        <v>2</v>
      </c>
      <c r="J11" s="218" t="s">
        <v>1176</v>
      </c>
      <c r="K11" s="218">
        <v>2</v>
      </c>
      <c r="L11" s="217"/>
      <c r="M11" s="221" t="s">
        <v>1170</v>
      </c>
    </row>
    <row r="12" spans="1:13" ht="33.75">
      <c r="A12" s="205"/>
      <c r="B12" s="207" t="s">
        <v>1177</v>
      </c>
      <c r="C12" s="218">
        <v>25</v>
      </c>
      <c r="D12" s="218">
        <v>25</v>
      </c>
      <c r="E12" s="218">
        <v>25</v>
      </c>
      <c r="F12" s="218">
        <v>25</v>
      </c>
      <c r="G12" s="218">
        <v>25</v>
      </c>
      <c r="H12" s="218">
        <v>15</v>
      </c>
      <c r="I12" s="218">
        <v>40</v>
      </c>
      <c r="J12" s="218">
        <v>15</v>
      </c>
      <c r="K12" s="218">
        <v>40</v>
      </c>
      <c r="L12" s="217"/>
      <c r="M12" s="221" t="s">
        <v>1178</v>
      </c>
    </row>
    <row r="13" spans="1:13" ht="33.75">
      <c r="A13" s="205"/>
      <c r="B13" s="207" t="s">
        <v>1179</v>
      </c>
      <c r="C13" s="218" t="s">
        <v>1176</v>
      </c>
      <c r="D13" s="218" t="s">
        <v>1176</v>
      </c>
      <c r="E13" s="218" t="s">
        <v>1176</v>
      </c>
      <c r="F13" s="218" t="s">
        <v>1176</v>
      </c>
      <c r="G13" s="218" t="s">
        <v>1176</v>
      </c>
      <c r="H13" s="218" t="s">
        <v>1180</v>
      </c>
      <c r="I13" s="218">
        <v>1</v>
      </c>
      <c r="J13" s="218" t="s">
        <v>1180</v>
      </c>
      <c r="K13" s="218">
        <v>1</v>
      </c>
      <c r="L13" s="217" t="s">
        <v>1181</v>
      </c>
      <c r="M13" s="221" t="s">
        <v>1182</v>
      </c>
    </row>
    <row r="14" spans="1:13" ht="45">
      <c r="A14" s="205"/>
      <c r="B14" s="226" t="s">
        <v>1183</v>
      </c>
      <c r="C14" s="223" t="s">
        <v>1184</v>
      </c>
      <c r="D14" s="223" t="s">
        <v>1184</v>
      </c>
      <c r="E14" s="223" t="s">
        <v>1184</v>
      </c>
      <c r="F14" s="223" t="s">
        <v>1184</v>
      </c>
      <c r="G14" s="223" t="s">
        <v>1184</v>
      </c>
      <c r="H14" s="223" t="s">
        <v>1185</v>
      </c>
      <c r="I14" s="223" t="s">
        <v>1186</v>
      </c>
      <c r="J14" s="223" t="s">
        <v>1185</v>
      </c>
      <c r="K14" s="223" t="s">
        <v>1186</v>
      </c>
      <c r="L14" s="224"/>
      <c r="M14" s="223" t="s">
        <v>1187</v>
      </c>
    </row>
    <row r="15" spans="1:13" ht="22.5">
      <c r="A15" s="205"/>
      <c r="B15" s="209" t="s">
        <v>632</v>
      </c>
      <c r="C15" s="210"/>
      <c r="D15" s="210"/>
      <c r="E15" s="210"/>
      <c r="F15" s="210"/>
      <c r="G15" s="210"/>
      <c r="H15" s="210"/>
      <c r="I15" s="210"/>
      <c r="J15" s="210"/>
      <c r="K15" s="210"/>
      <c r="L15" s="227"/>
      <c r="M15" s="212"/>
    </row>
    <row r="16" spans="1:13" ht="45">
      <c r="A16" s="205"/>
      <c r="B16" s="207" t="s">
        <v>1188</v>
      </c>
      <c r="C16" s="218">
        <v>5</v>
      </c>
      <c r="D16" s="218">
        <v>5</v>
      </c>
      <c r="E16" s="218">
        <v>5</v>
      </c>
      <c r="F16" s="218">
        <v>5</v>
      </c>
      <c r="G16" s="218">
        <v>5</v>
      </c>
      <c r="H16" s="218">
        <v>5</v>
      </c>
      <c r="I16" s="218">
        <v>50</v>
      </c>
      <c r="J16" s="218">
        <v>5</v>
      </c>
      <c r="K16" s="218">
        <v>50</v>
      </c>
      <c r="L16" s="217" t="s">
        <v>772</v>
      </c>
      <c r="M16" s="218" t="s">
        <v>1189</v>
      </c>
    </row>
    <row r="17" spans="1:13" ht="45">
      <c r="A17" s="205"/>
      <c r="B17" s="207" t="s">
        <v>1190</v>
      </c>
      <c r="C17" s="218">
        <v>10</v>
      </c>
      <c r="D17" s="218">
        <v>10</v>
      </c>
      <c r="E17" s="218">
        <v>10</v>
      </c>
      <c r="F17" s="218">
        <v>10</v>
      </c>
      <c r="G17" s="218">
        <v>10</v>
      </c>
      <c r="H17" s="218">
        <v>10</v>
      </c>
      <c r="I17" s="218">
        <v>100</v>
      </c>
      <c r="J17" s="218">
        <v>10</v>
      </c>
      <c r="K17" s="218">
        <v>100</v>
      </c>
      <c r="L17" s="217" t="s">
        <v>772</v>
      </c>
      <c r="M17" s="218" t="s">
        <v>1189</v>
      </c>
    </row>
    <row r="18" spans="1:13" ht="33.75">
      <c r="A18" s="205"/>
      <c r="B18" s="207" t="s">
        <v>1191</v>
      </c>
      <c r="C18" s="218">
        <v>25</v>
      </c>
      <c r="D18" s="218">
        <v>25</v>
      </c>
      <c r="E18" s="218">
        <v>25</v>
      </c>
      <c r="F18" s="218">
        <v>25</v>
      </c>
      <c r="G18" s="218">
        <v>25</v>
      </c>
      <c r="H18" s="218">
        <v>10</v>
      </c>
      <c r="I18" s="218">
        <v>50</v>
      </c>
      <c r="J18" s="218">
        <v>10</v>
      </c>
      <c r="K18" s="218">
        <v>50</v>
      </c>
      <c r="L18" s="217" t="s">
        <v>1192</v>
      </c>
      <c r="M18" s="218" t="s">
        <v>1189</v>
      </c>
    </row>
    <row r="19" spans="1:13" ht="33.75">
      <c r="A19" s="205"/>
      <c r="B19" s="207" t="s">
        <v>1193</v>
      </c>
      <c r="C19" s="218" t="s">
        <v>1186</v>
      </c>
      <c r="D19" s="218" t="s">
        <v>1186</v>
      </c>
      <c r="E19" s="218" t="s">
        <v>1186</v>
      </c>
      <c r="F19" s="218" t="s">
        <v>1186</v>
      </c>
      <c r="G19" s="218" t="s">
        <v>1186</v>
      </c>
      <c r="H19" s="218" t="s">
        <v>1186</v>
      </c>
      <c r="I19" s="218" t="s">
        <v>1194</v>
      </c>
      <c r="J19" s="218" t="s">
        <v>1186</v>
      </c>
      <c r="K19" s="218" t="s">
        <v>1194</v>
      </c>
      <c r="L19" s="217" t="s">
        <v>772</v>
      </c>
      <c r="M19" s="221" t="s">
        <v>1182</v>
      </c>
    </row>
    <row r="20" spans="1:13" ht="33.75">
      <c r="A20" s="205"/>
      <c r="B20" s="207" t="s">
        <v>1195</v>
      </c>
      <c r="C20" s="218">
        <v>1</v>
      </c>
      <c r="D20" s="218">
        <v>1</v>
      </c>
      <c r="E20" s="218">
        <v>1</v>
      </c>
      <c r="F20" s="218">
        <v>1</v>
      </c>
      <c r="G20" s="218">
        <v>1</v>
      </c>
      <c r="H20" s="218" t="s">
        <v>1194</v>
      </c>
      <c r="I20" s="218">
        <v>1</v>
      </c>
      <c r="J20" s="218" t="s">
        <v>1194</v>
      </c>
      <c r="K20" s="218">
        <v>1</v>
      </c>
      <c r="L20" s="217" t="s">
        <v>1196</v>
      </c>
      <c r="M20" s="221" t="s">
        <v>1182</v>
      </c>
    </row>
    <row r="21" spans="1:13" ht="22.5">
      <c r="A21" s="205"/>
      <c r="B21" s="209" t="s">
        <v>625</v>
      </c>
      <c r="C21" s="210"/>
      <c r="D21" s="210"/>
      <c r="E21" s="210"/>
      <c r="F21" s="210"/>
      <c r="G21" s="210"/>
      <c r="H21" s="210"/>
      <c r="I21" s="210"/>
      <c r="J21" s="210"/>
      <c r="K21" s="210"/>
      <c r="L21" s="227"/>
      <c r="M21" s="212"/>
    </row>
    <row r="22" spans="1:13" ht="45">
      <c r="A22" s="205"/>
      <c r="B22" s="207" t="s">
        <v>1197</v>
      </c>
      <c r="C22" s="218"/>
      <c r="D22" s="218"/>
      <c r="E22" s="218"/>
      <c r="F22" s="218"/>
      <c r="G22" s="218"/>
      <c r="H22" s="218"/>
      <c r="I22" s="218"/>
      <c r="J22" s="218"/>
      <c r="K22" s="218"/>
      <c r="L22" s="224"/>
      <c r="M22" s="219"/>
    </row>
    <row r="23" spans="1:13" ht="22.5">
      <c r="A23" s="205"/>
      <c r="B23" s="207" t="s">
        <v>1198</v>
      </c>
      <c r="C23" s="218"/>
      <c r="D23" s="218"/>
      <c r="E23" s="218"/>
      <c r="F23" s="218"/>
      <c r="G23" s="218"/>
      <c r="H23" s="218"/>
      <c r="I23" s="218"/>
      <c r="J23" s="218"/>
      <c r="K23" s="218"/>
      <c r="L23" s="217"/>
      <c r="M23" s="223"/>
    </row>
    <row r="24" spans="1:13" ht="22.5">
      <c r="A24" s="205"/>
      <c r="B24" s="207" t="s">
        <v>1199</v>
      </c>
      <c r="C24" s="228"/>
      <c r="D24" s="228"/>
      <c r="E24" s="228"/>
      <c r="F24" s="228"/>
      <c r="G24" s="228"/>
      <c r="H24" s="228"/>
      <c r="I24" s="228"/>
      <c r="J24" s="228"/>
      <c r="K24" s="228"/>
      <c r="L24" s="217"/>
      <c r="M24" s="223"/>
    </row>
    <row r="25" spans="1:13" ht="22.5">
      <c r="A25" s="205"/>
      <c r="B25" s="207" t="s">
        <v>1200</v>
      </c>
      <c r="C25" s="229"/>
      <c r="D25" s="229"/>
      <c r="E25" s="229"/>
      <c r="F25" s="229"/>
      <c r="G25" s="229"/>
      <c r="H25" s="229"/>
      <c r="I25" s="229"/>
      <c r="J25" s="229"/>
      <c r="K25" s="229"/>
      <c r="L25" s="230"/>
      <c r="M25" s="223"/>
    </row>
    <row r="26" spans="1:13" ht="22.5">
      <c r="A26" s="205"/>
      <c r="B26" s="207" t="s">
        <v>1201</v>
      </c>
      <c r="C26" s="229"/>
      <c r="D26" s="229"/>
      <c r="E26" s="229"/>
      <c r="F26" s="229"/>
      <c r="G26" s="229"/>
      <c r="H26" s="229"/>
      <c r="I26" s="229"/>
      <c r="J26" s="229"/>
      <c r="K26" s="229"/>
      <c r="L26" s="230"/>
      <c r="M26" s="223"/>
    </row>
    <row r="27" spans="1:13" ht="22.5">
      <c r="A27" s="205"/>
      <c r="B27" s="209" t="s">
        <v>1202</v>
      </c>
      <c r="C27" s="210"/>
      <c r="D27" s="210"/>
      <c r="E27" s="210"/>
      <c r="F27" s="210"/>
      <c r="G27" s="210"/>
      <c r="H27" s="210"/>
      <c r="I27" s="210"/>
      <c r="J27" s="210"/>
      <c r="K27" s="210"/>
      <c r="L27" s="227"/>
      <c r="M27" s="212"/>
    </row>
    <row r="28" spans="1:13" ht="45">
      <c r="A28" s="205"/>
      <c r="B28" s="207" t="s">
        <v>1203</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1204</v>
      </c>
      <c r="M28" s="221" t="s">
        <v>1170</v>
      </c>
    </row>
    <row r="29" spans="1:13" ht="22.5">
      <c r="A29" s="205"/>
      <c r="B29" s="207" t="s">
        <v>1205</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591</v>
      </c>
      <c r="M29" s="221" t="s">
        <v>1170</v>
      </c>
    </row>
    <row r="30" spans="1:13" ht="22.5">
      <c r="A30" s="205"/>
      <c r="B30" s="207" t="s">
        <v>1206</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591</v>
      </c>
      <c r="M30" s="221" t="s">
        <v>1170</v>
      </c>
    </row>
    <row r="31" spans="1:13" ht="33.75">
      <c r="A31" s="205"/>
      <c r="B31" s="207" t="s">
        <v>1207</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633</v>
      </c>
      <c r="M31" s="221" t="s">
        <v>1170</v>
      </c>
    </row>
    <row r="32" spans="1:13" ht="33.75">
      <c r="A32" s="205"/>
      <c r="B32" s="207" t="s">
        <v>1208</v>
      </c>
      <c r="C32" s="218">
        <v>2000</v>
      </c>
      <c r="D32" s="218">
        <v>2000</v>
      </c>
      <c r="E32" s="218">
        <v>2000</v>
      </c>
      <c r="F32" s="218">
        <v>2000</v>
      </c>
      <c r="G32" s="218">
        <v>2000</v>
      </c>
      <c r="H32" s="218">
        <v>1000</v>
      </c>
      <c r="I32" s="218">
        <v>3000</v>
      </c>
      <c r="J32" s="218">
        <v>1000</v>
      </c>
      <c r="K32" s="218">
        <v>5000</v>
      </c>
      <c r="L32" s="217" t="s">
        <v>595</v>
      </c>
      <c r="M32" s="221" t="s">
        <v>1170</v>
      </c>
    </row>
    <row r="33" spans="1:13" ht="33.75">
      <c r="A33" s="205"/>
      <c r="B33" s="207" t="s">
        <v>1209</v>
      </c>
      <c r="C33" s="229">
        <v>2.19</v>
      </c>
      <c r="D33" s="229">
        <v>2.19</v>
      </c>
      <c r="E33" s="229">
        <v>2.5099999999999998</v>
      </c>
      <c r="F33" s="229">
        <v>2.19</v>
      </c>
      <c r="G33" s="229">
        <v>2.67</v>
      </c>
      <c r="H33" s="229">
        <v>2.19</v>
      </c>
      <c r="I33" s="229">
        <v>2.19</v>
      </c>
      <c r="J33" s="229">
        <v>2.17</v>
      </c>
      <c r="K33" s="229">
        <v>2.19</v>
      </c>
      <c r="L33" s="217"/>
      <c r="M33" s="221" t="s">
        <v>1170</v>
      </c>
    </row>
    <row r="34" spans="1:13" ht="45">
      <c r="A34" s="205"/>
      <c r="B34" s="232" t="s">
        <v>1210</v>
      </c>
      <c r="C34" s="229">
        <v>0</v>
      </c>
      <c r="D34" s="229">
        <v>0</v>
      </c>
      <c r="E34" s="229">
        <v>0</v>
      </c>
      <c r="F34" s="229">
        <v>0</v>
      </c>
      <c r="G34" s="229">
        <v>0</v>
      </c>
      <c r="H34" s="229">
        <v>0</v>
      </c>
      <c r="I34" s="229">
        <v>0</v>
      </c>
      <c r="J34" s="229">
        <v>0</v>
      </c>
      <c r="K34" s="229">
        <v>0</v>
      </c>
      <c r="L34" s="217" t="s">
        <v>1211</v>
      </c>
      <c r="M34" s="221" t="s">
        <v>1170</v>
      </c>
    </row>
    <row r="35" spans="1:13" ht="45">
      <c r="A35" s="205"/>
      <c r="B35" s="232" t="s">
        <v>1212</v>
      </c>
      <c r="C35" s="218">
        <v>2.19</v>
      </c>
      <c r="D35" s="218">
        <v>2.19</v>
      </c>
      <c r="E35" s="218">
        <v>2.5099999999999998</v>
      </c>
      <c r="F35" s="218">
        <v>2.19</v>
      </c>
      <c r="G35" s="218">
        <v>2.67</v>
      </c>
      <c r="H35" s="218">
        <v>2.19</v>
      </c>
      <c r="I35" s="218">
        <v>2.19</v>
      </c>
      <c r="J35" s="218">
        <v>2.17</v>
      </c>
      <c r="K35" s="218">
        <v>2.19</v>
      </c>
      <c r="L35" s="217" t="s">
        <v>595</v>
      </c>
      <c r="M35" s="221" t="s">
        <v>1170</v>
      </c>
    </row>
    <row r="36" spans="1:13" ht="45">
      <c r="A36" s="205"/>
      <c r="B36" s="207" t="s">
        <v>1213</v>
      </c>
      <c r="C36" s="218">
        <v>10</v>
      </c>
      <c r="D36" s="218">
        <v>10</v>
      </c>
      <c r="E36" s="218">
        <v>10</v>
      </c>
      <c r="F36" s="218">
        <v>10</v>
      </c>
      <c r="G36" s="218">
        <v>10</v>
      </c>
      <c r="H36" s="218">
        <v>5</v>
      </c>
      <c r="I36" s="218">
        <v>20</v>
      </c>
      <c r="J36" s="218">
        <v>2</v>
      </c>
      <c r="K36" s="218">
        <v>20</v>
      </c>
      <c r="L36" s="217" t="s">
        <v>840</v>
      </c>
      <c r="M36" s="218">
        <v>15</v>
      </c>
    </row>
    <row r="37" spans="1:13" ht="45">
      <c r="A37" s="205"/>
      <c r="B37" s="209" t="s">
        <v>1214</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1215</v>
      </c>
      <c r="B40" s="205"/>
      <c r="C40" s="205"/>
      <c r="D40" s="205"/>
      <c r="E40" s="205"/>
      <c r="F40" s="205"/>
      <c r="G40" s="205"/>
      <c r="H40" s="205"/>
      <c r="I40" s="205"/>
      <c r="J40" s="205"/>
      <c r="K40" s="205"/>
      <c r="L40" s="205"/>
      <c r="M40" s="205"/>
    </row>
    <row r="41" spans="1:13">
      <c r="A41" s="237" t="s">
        <v>591</v>
      </c>
      <c r="B41" s="237" t="s">
        <v>1216</v>
      </c>
      <c r="C41" s="237"/>
      <c r="D41" s="237"/>
      <c r="E41" s="237"/>
      <c r="F41" s="237"/>
      <c r="G41" s="237"/>
      <c r="H41" s="237"/>
      <c r="I41" s="237"/>
      <c r="J41" s="237"/>
      <c r="K41" s="237"/>
      <c r="L41" s="237"/>
      <c r="M41" s="237"/>
    </row>
    <row r="42" spans="1:13">
      <c r="A42" s="237" t="s">
        <v>1217</v>
      </c>
      <c r="B42" s="237" t="s">
        <v>1218</v>
      </c>
      <c r="C42" s="237"/>
      <c r="D42" s="237"/>
      <c r="E42" s="237"/>
      <c r="F42" s="237"/>
      <c r="G42" s="237"/>
      <c r="H42" s="237"/>
      <c r="I42" s="237"/>
      <c r="J42" s="237"/>
      <c r="K42" s="237"/>
      <c r="L42" s="237"/>
      <c r="M42" s="237"/>
    </row>
    <row r="43" spans="1:13">
      <c r="A43" s="237" t="s">
        <v>597</v>
      </c>
      <c r="B43" s="237" t="s">
        <v>1219</v>
      </c>
      <c r="C43" s="237"/>
      <c r="D43" s="237"/>
      <c r="E43" s="237"/>
      <c r="F43" s="237"/>
      <c r="G43" s="237"/>
      <c r="H43" s="237"/>
      <c r="I43" s="237"/>
      <c r="J43" s="237"/>
      <c r="K43" s="237"/>
      <c r="L43" s="237"/>
      <c r="M43" s="237"/>
    </row>
    <row r="44" spans="1:13">
      <c r="A44" s="237" t="s">
        <v>739</v>
      </c>
      <c r="B44" s="237" t="s">
        <v>1220</v>
      </c>
      <c r="C44" s="237"/>
      <c r="D44" s="237"/>
      <c r="E44" s="237"/>
      <c r="F44" s="237"/>
      <c r="G44" s="237"/>
      <c r="H44" s="237"/>
      <c r="I44" s="237"/>
      <c r="J44" s="237"/>
      <c r="K44" s="237"/>
      <c r="L44" s="237"/>
      <c r="M44" s="237"/>
    </row>
    <row r="45" spans="1:13">
      <c r="A45" s="237" t="s">
        <v>704</v>
      </c>
      <c r="B45" s="237" t="s">
        <v>1221</v>
      </c>
      <c r="C45" s="237"/>
      <c r="D45" s="237"/>
      <c r="E45" s="237"/>
      <c r="F45" s="237"/>
      <c r="G45" s="237"/>
      <c r="H45" s="237"/>
      <c r="I45" s="237"/>
      <c r="J45" s="237"/>
      <c r="K45" s="237"/>
      <c r="L45" s="237"/>
      <c r="M45" s="237"/>
    </row>
    <row r="46" spans="1:13">
      <c r="A46" s="237" t="s">
        <v>740</v>
      </c>
      <c r="B46" s="238" t="s">
        <v>1222</v>
      </c>
      <c r="C46" s="238"/>
      <c r="D46" s="238"/>
      <c r="E46" s="238"/>
      <c r="F46" s="238"/>
      <c r="G46" s="238"/>
      <c r="H46" s="238"/>
      <c r="I46" s="238"/>
      <c r="J46" s="238"/>
      <c r="K46" s="238"/>
      <c r="L46" s="238"/>
      <c r="M46" s="238"/>
    </row>
    <row r="47" spans="1:13">
      <c r="A47" s="237" t="s">
        <v>628</v>
      </c>
      <c r="B47" s="237" t="s">
        <v>1223</v>
      </c>
      <c r="C47" s="237"/>
      <c r="D47" s="237"/>
      <c r="E47" s="237"/>
      <c r="F47" s="237"/>
      <c r="G47" s="237"/>
      <c r="H47" s="237"/>
      <c r="I47" s="237"/>
      <c r="J47" s="237"/>
      <c r="K47" s="237"/>
      <c r="L47" s="237"/>
      <c r="M47" s="237"/>
    </row>
    <row r="48" spans="1:13">
      <c r="A48" s="237" t="s">
        <v>772</v>
      </c>
      <c r="B48" s="237" t="s">
        <v>1224</v>
      </c>
      <c r="C48" s="237"/>
      <c r="D48" s="237"/>
      <c r="E48" s="237"/>
      <c r="F48" s="237"/>
      <c r="G48" s="237"/>
      <c r="H48" s="237"/>
      <c r="I48" s="237"/>
      <c r="J48" s="237"/>
      <c r="K48" s="237"/>
      <c r="L48" s="237"/>
      <c r="M48" s="237"/>
    </row>
    <row r="49" spans="1:13">
      <c r="A49" s="237" t="s">
        <v>702</v>
      </c>
      <c r="B49" s="237" t="s">
        <v>1225</v>
      </c>
      <c r="C49" s="237"/>
      <c r="D49" s="237"/>
      <c r="E49" s="237"/>
      <c r="F49" s="237"/>
      <c r="G49" s="237"/>
      <c r="H49" s="237"/>
      <c r="I49" s="237"/>
      <c r="J49" s="237"/>
      <c r="K49" s="237"/>
      <c r="L49" s="237"/>
      <c r="M49" s="237"/>
    </row>
    <row r="50" spans="1:13">
      <c r="A50" s="237" t="s">
        <v>637</v>
      </c>
      <c r="B50" s="237" t="s">
        <v>1226</v>
      </c>
      <c r="C50" s="237"/>
      <c r="D50" s="237"/>
      <c r="E50" s="237"/>
      <c r="F50" s="237"/>
      <c r="G50" s="237"/>
      <c r="H50" s="237"/>
      <c r="I50" s="237"/>
      <c r="J50" s="237"/>
      <c r="K50" s="237"/>
      <c r="L50" s="237"/>
      <c r="M50" s="237"/>
    </row>
    <row r="51" spans="1:13">
      <c r="A51" s="237" t="s">
        <v>633</v>
      </c>
      <c r="B51" s="237" t="s">
        <v>1227</v>
      </c>
      <c r="C51" s="237"/>
      <c r="D51" s="237"/>
      <c r="E51" s="237"/>
      <c r="F51" s="237"/>
      <c r="G51" s="237"/>
      <c r="H51" s="237"/>
      <c r="I51" s="237"/>
      <c r="J51" s="237"/>
      <c r="K51" s="237"/>
      <c r="L51" s="237"/>
      <c r="M51" s="237"/>
    </row>
    <row r="52" spans="1:13">
      <c r="A52" s="237" t="s">
        <v>639</v>
      </c>
      <c r="B52" s="239" t="s">
        <v>1228</v>
      </c>
      <c r="C52" s="239"/>
      <c r="D52" s="239"/>
      <c r="E52" s="239"/>
      <c r="F52" s="239"/>
      <c r="G52" s="239"/>
      <c r="H52" s="239"/>
      <c r="I52" s="239"/>
      <c r="J52" s="239"/>
      <c r="K52" s="239"/>
      <c r="L52" s="239"/>
      <c r="M52" s="239"/>
    </row>
    <row r="53" spans="1:13">
      <c r="A53" s="237" t="s">
        <v>595</v>
      </c>
      <c r="B53" s="237" t="s">
        <v>1229</v>
      </c>
      <c r="C53" s="237"/>
      <c r="D53" s="237"/>
      <c r="E53" s="237"/>
      <c r="F53" s="237"/>
      <c r="G53" s="237"/>
      <c r="H53" s="237"/>
      <c r="I53" s="237"/>
      <c r="J53" s="237"/>
      <c r="K53" s="237"/>
      <c r="L53" s="237"/>
      <c r="M53" s="237"/>
    </row>
    <row r="54" spans="1:13">
      <c r="A54" s="237" t="s">
        <v>690</v>
      </c>
      <c r="B54" s="237" t="s">
        <v>1230</v>
      </c>
      <c r="C54" s="237"/>
      <c r="D54" s="237"/>
      <c r="E54" s="237"/>
      <c r="F54" s="237"/>
      <c r="G54" s="237"/>
      <c r="H54" s="237"/>
      <c r="I54" s="237"/>
      <c r="J54" s="237"/>
      <c r="K54" s="237"/>
      <c r="L54" s="237"/>
      <c r="M54" s="237"/>
    </row>
    <row r="55" spans="1:13">
      <c r="A55" s="237" t="s">
        <v>840</v>
      </c>
      <c r="B55" s="237" t="s">
        <v>1231</v>
      </c>
      <c r="C55" s="237"/>
      <c r="D55" s="237"/>
      <c r="E55" s="237"/>
      <c r="F55" s="237"/>
      <c r="G55" s="237"/>
      <c r="H55" s="237"/>
      <c r="I55" s="237"/>
      <c r="J55" s="237"/>
      <c r="K55" s="237"/>
      <c r="L55" s="237"/>
      <c r="M55" s="237"/>
    </row>
    <row r="56" spans="1:13">
      <c r="A56" s="205" t="s">
        <v>614</v>
      </c>
      <c r="B56" s="205" t="s">
        <v>1232</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1233</v>
      </c>
      <c r="B58" s="205"/>
      <c r="C58" s="241"/>
      <c r="D58" s="241"/>
      <c r="E58" s="241"/>
      <c r="F58" s="241"/>
      <c r="G58" s="241"/>
      <c r="H58" s="241"/>
      <c r="I58" s="241"/>
      <c r="J58" s="241"/>
      <c r="K58" s="241"/>
      <c r="L58" s="241"/>
      <c r="M58" s="241"/>
    </row>
    <row r="59" spans="1:13">
      <c r="A59" s="241">
        <v>1</v>
      </c>
      <c r="B59" s="241" t="s">
        <v>1234</v>
      </c>
      <c r="C59" s="241"/>
      <c r="D59" s="241"/>
      <c r="E59" s="241"/>
      <c r="F59" s="241"/>
      <c r="G59" s="241"/>
      <c r="H59" s="241"/>
      <c r="I59" s="241"/>
      <c r="J59" s="241"/>
      <c r="K59" s="241"/>
      <c r="L59" s="241"/>
      <c r="M59" s="241"/>
    </row>
    <row r="60" spans="1:13">
      <c r="A60" s="241">
        <v>2</v>
      </c>
      <c r="B60" s="242" t="s">
        <v>1235</v>
      </c>
      <c r="C60" s="241"/>
      <c r="D60" s="241"/>
      <c r="E60" s="241"/>
      <c r="F60" s="241"/>
      <c r="G60" s="241"/>
      <c r="H60" s="241"/>
      <c r="I60" s="241"/>
      <c r="J60" s="241"/>
      <c r="K60" s="241"/>
      <c r="L60" s="241"/>
      <c r="M60" s="241"/>
    </row>
    <row r="61" spans="1:13">
      <c r="A61" s="241">
        <v>3</v>
      </c>
      <c r="B61" s="241" t="s">
        <v>1236</v>
      </c>
      <c r="C61" s="243"/>
      <c r="D61" s="243"/>
      <c r="E61" s="243"/>
      <c r="F61" s="243"/>
      <c r="G61" s="243"/>
      <c r="H61" s="243"/>
      <c r="I61" s="243"/>
      <c r="J61" s="243"/>
      <c r="K61" s="243"/>
      <c r="L61" s="243"/>
      <c r="M61" s="243"/>
    </row>
    <row r="62" spans="1:13">
      <c r="A62" s="241">
        <v>4</v>
      </c>
      <c r="B62" s="241" t="s">
        <v>1237</v>
      </c>
      <c r="C62" s="243"/>
      <c r="D62" s="243"/>
      <c r="E62" s="243"/>
      <c r="F62" s="243"/>
      <c r="G62" s="243"/>
      <c r="H62" s="243"/>
      <c r="I62" s="243"/>
      <c r="J62" s="243"/>
      <c r="K62" s="243"/>
      <c r="L62" s="243"/>
      <c r="M62" s="243"/>
    </row>
    <row r="63" spans="1:13">
      <c r="A63" s="241">
        <v>5</v>
      </c>
      <c r="B63" s="241" t="s">
        <v>1238</v>
      </c>
      <c r="C63" s="243"/>
      <c r="D63" s="243"/>
      <c r="E63" s="243"/>
      <c r="F63" s="243"/>
      <c r="G63" s="243"/>
      <c r="H63" s="243"/>
      <c r="I63" s="243"/>
      <c r="J63" s="243"/>
      <c r="K63" s="243"/>
      <c r="L63" s="243"/>
      <c r="M63" s="243"/>
    </row>
    <row r="64" spans="1:13" ht="56.25">
      <c r="A64" s="241">
        <v>6</v>
      </c>
      <c r="B64" s="244" t="s">
        <v>1239</v>
      </c>
      <c r="C64" s="233"/>
      <c r="D64" s="233"/>
      <c r="E64" s="233"/>
      <c r="F64" s="233"/>
      <c r="G64" s="233"/>
      <c r="H64" s="233"/>
      <c r="I64" s="233"/>
      <c r="J64" s="233"/>
      <c r="K64" s="233"/>
      <c r="L64" s="233"/>
      <c r="M64" s="233"/>
    </row>
    <row r="65" spans="1:13" ht="45">
      <c r="A65" s="241">
        <v>7</v>
      </c>
      <c r="B65" s="233" t="s">
        <v>1240</v>
      </c>
      <c r="C65" s="233"/>
      <c r="D65" s="233"/>
      <c r="E65" s="233"/>
      <c r="F65" s="233"/>
      <c r="G65" s="233"/>
      <c r="H65" s="233"/>
      <c r="I65" s="233"/>
      <c r="J65" s="233"/>
      <c r="K65" s="233"/>
      <c r="L65" s="233"/>
      <c r="M65" s="233"/>
    </row>
    <row r="66" spans="1:13" ht="45">
      <c r="A66" s="241">
        <v>8</v>
      </c>
      <c r="B66" s="233" t="s">
        <v>1241</v>
      </c>
      <c r="C66" s="233"/>
      <c r="D66" s="233"/>
      <c r="E66" s="233"/>
      <c r="F66" s="233"/>
      <c r="G66" s="233"/>
      <c r="H66" s="233"/>
      <c r="I66" s="233"/>
      <c r="J66" s="233"/>
      <c r="K66" s="233"/>
      <c r="L66" s="233"/>
      <c r="M66" s="233"/>
    </row>
    <row r="67" spans="1:13" ht="56.25">
      <c r="A67" s="241">
        <v>9</v>
      </c>
      <c r="B67" s="233" t="s">
        <v>1242</v>
      </c>
      <c r="C67" s="233"/>
      <c r="D67" s="233"/>
      <c r="E67" s="233"/>
      <c r="F67" s="233"/>
      <c r="G67" s="233"/>
      <c r="H67" s="233"/>
      <c r="I67" s="233"/>
      <c r="J67" s="233"/>
      <c r="K67" s="233"/>
      <c r="L67" s="233"/>
      <c r="M67" s="233"/>
    </row>
    <row r="68" spans="1:13" ht="56.25">
      <c r="A68" s="241">
        <v>10</v>
      </c>
      <c r="B68" s="233" t="s">
        <v>1243</v>
      </c>
      <c r="C68" s="233"/>
      <c r="D68" s="233"/>
      <c r="E68" s="233"/>
      <c r="F68" s="233"/>
      <c r="G68" s="233"/>
      <c r="H68" s="233"/>
      <c r="I68" s="233"/>
      <c r="J68" s="233"/>
      <c r="K68" s="233"/>
      <c r="L68" s="233"/>
      <c r="M68" s="233"/>
    </row>
    <row r="69" spans="1:13" ht="45">
      <c r="A69" s="241">
        <v>11</v>
      </c>
      <c r="B69" s="233" t="s">
        <v>1244</v>
      </c>
      <c r="C69" s="202"/>
      <c r="D69" s="202"/>
      <c r="E69" s="202"/>
      <c r="F69" s="202"/>
      <c r="G69" s="202"/>
      <c r="H69" s="202"/>
      <c r="I69" s="202"/>
      <c r="J69" s="202"/>
      <c r="K69" s="202"/>
      <c r="L69" s="202"/>
      <c r="M69" s="202"/>
    </row>
    <row r="70" spans="1:13">
      <c r="A70" s="241">
        <v>12</v>
      </c>
      <c r="B70" s="203" t="s">
        <v>1245</v>
      </c>
      <c r="C70" s="202"/>
      <c r="D70" s="202"/>
      <c r="E70" s="202"/>
      <c r="F70" s="202"/>
      <c r="G70" s="202"/>
      <c r="H70" s="202"/>
      <c r="I70" s="202"/>
      <c r="J70" s="202"/>
      <c r="K70" s="202"/>
      <c r="L70" s="202"/>
      <c r="M70" s="202"/>
    </row>
    <row r="71" spans="1:13">
      <c r="A71" s="241">
        <v>13</v>
      </c>
      <c r="B71" s="203" t="s">
        <v>1246</v>
      </c>
      <c r="C71" s="202"/>
      <c r="D71" s="202"/>
      <c r="E71" s="202"/>
      <c r="F71" s="202"/>
      <c r="G71" s="202"/>
      <c r="H71" s="202"/>
      <c r="I71" s="202"/>
      <c r="J71" s="202"/>
      <c r="K71" s="202"/>
      <c r="L71" s="202"/>
      <c r="M71" s="202"/>
    </row>
    <row r="72" spans="1:13">
      <c r="A72" s="241">
        <v>14</v>
      </c>
      <c r="B72" s="203" t="s">
        <v>1247</v>
      </c>
      <c r="C72" s="202"/>
      <c r="D72" s="202"/>
      <c r="E72" s="202"/>
      <c r="F72" s="202"/>
      <c r="G72" s="202"/>
      <c r="H72" s="202"/>
      <c r="I72" s="202"/>
      <c r="J72" s="202"/>
      <c r="K72" s="202"/>
      <c r="L72" s="202"/>
      <c r="M72" s="202"/>
    </row>
    <row r="73" spans="1:13">
      <c r="A73" s="241">
        <v>15</v>
      </c>
      <c r="B73" s="203" t="s">
        <v>1248</v>
      </c>
      <c r="C73" s="202"/>
      <c r="D73" s="202"/>
      <c r="E73" s="202"/>
      <c r="F73" s="202"/>
      <c r="G73" s="202"/>
      <c r="H73" s="202"/>
      <c r="I73" s="202"/>
      <c r="J73" s="202"/>
      <c r="K73" s="202"/>
      <c r="L73" s="202"/>
      <c r="M73" s="202"/>
    </row>
    <row r="74" spans="1:13">
      <c r="A74" s="241">
        <v>16</v>
      </c>
      <c r="B74" s="203" t="s">
        <v>1249</v>
      </c>
      <c r="C74" s="202"/>
      <c r="D74" s="202"/>
      <c r="E74" s="202"/>
      <c r="F74" s="202"/>
      <c r="G74" s="202"/>
      <c r="H74" s="202"/>
      <c r="I74" s="202"/>
      <c r="J74" s="202"/>
      <c r="K74" s="202"/>
      <c r="L74" s="202"/>
      <c r="M74" s="202"/>
    </row>
    <row r="75" spans="1:13">
      <c r="A75" s="241">
        <v>17</v>
      </c>
      <c r="B75" s="203" t="s">
        <v>1250</v>
      </c>
      <c r="C75" s="202"/>
      <c r="D75" s="202"/>
      <c r="E75" s="202"/>
      <c r="F75" s="202"/>
      <c r="G75" s="202"/>
      <c r="H75" s="202"/>
      <c r="I75" s="202"/>
      <c r="J75" s="202"/>
      <c r="K75" s="202"/>
      <c r="L75" s="202"/>
      <c r="M75" s="202"/>
    </row>
    <row r="76" spans="1:13">
      <c r="A76" s="241">
        <v>18</v>
      </c>
      <c r="B76" s="203" t="s">
        <v>1251</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K23" sqref="K23"/>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1035</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1033</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1032</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1026</v>
      </c>
    </row>
    <row r="11" spans="2:30" ht="60">
      <c r="B11" s="103" t="s">
        <v>1029</v>
      </c>
      <c r="C11" s="103" t="s">
        <v>972</v>
      </c>
      <c r="D11" s="103" t="s">
        <v>971</v>
      </c>
      <c r="E11" s="81" t="s">
        <v>1316</v>
      </c>
      <c r="F11" s="81" t="s">
        <v>970</v>
      </c>
      <c r="G11" s="81" t="s">
        <v>1037</v>
      </c>
      <c r="H11" s="81" t="s">
        <v>1038</v>
      </c>
      <c r="I11" s="300" t="s">
        <v>1317</v>
      </c>
      <c r="J11" s="299" t="s">
        <v>1315</v>
      </c>
    </row>
    <row r="12" spans="2:30" ht="15">
      <c r="B12" s="109" t="s">
        <v>983</v>
      </c>
      <c r="C12" s="104" t="s">
        <v>969</v>
      </c>
      <c r="D12" s="104" t="s">
        <v>958</v>
      </c>
      <c r="E12" s="80">
        <v>266.57523809523798</v>
      </c>
      <c r="F12" s="80">
        <v>5468.1085769142855</v>
      </c>
      <c r="G12" s="105" t="s">
        <v>434</v>
      </c>
      <c r="I12">
        <v>810</v>
      </c>
    </row>
    <row r="13" spans="2:30" ht="16.5" customHeight="1">
      <c r="B13" s="109" t="s">
        <v>984</v>
      </c>
      <c r="C13" s="104" t="s">
        <v>968</v>
      </c>
      <c r="D13" s="104" t="s">
        <v>958</v>
      </c>
      <c r="E13" s="80">
        <v>210.45841269841262</v>
      </c>
      <c r="F13" s="80">
        <v>4317.0155629714272</v>
      </c>
      <c r="G13" s="105" t="s">
        <v>450</v>
      </c>
      <c r="I13" s="301">
        <v>810</v>
      </c>
      <c r="J13">
        <v>24908</v>
      </c>
    </row>
    <row r="14" spans="2:30" ht="15">
      <c r="B14" s="109"/>
      <c r="C14" s="104" t="s">
        <v>967</v>
      </c>
      <c r="D14" s="104" t="s">
        <v>958</v>
      </c>
      <c r="E14" s="80">
        <v>1162.3579591836751</v>
      </c>
      <c r="F14" s="80">
        <v>23842.797896277589</v>
      </c>
      <c r="G14" s="106" t="s">
        <v>1027</v>
      </c>
      <c r="H14" s="87" t="s">
        <v>445</v>
      </c>
    </row>
    <row r="15" spans="2:30" ht="15" customHeight="1">
      <c r="B15" s="319" t="s">
        <v>994</v>
      </c>
      <c r="C15" s="104" t="s">
        <v>966</v>
      </c>
      <c r="D15" s="104" t="s">
        <v>958</v>
      </c>
      <c r="E15" s="80">
        <v>377</v>
      </c>
      <c r="F15" s="80">
        <f>3865.58537571818+4239.85897298597</f>
        <v>8105.4443487041499</v>
      </c>
      <c r="G15" s="107" t="s">
        <v>434</v>
      </c>
      <c r="I15" s="301">
        <v>1270</v>
      </c>
      <c r="J15">
        <v>5162</v>
      </c>
    </row>
    <row r="16" spans="2:30" ht="15">
      <c r="B16" s="320"/>
      <c r="C16" s="104" t="s">
        <v>965</v>
      </c>
      <c r="D16" s="104" t="s">
        <v>958</v>
      </c>
      <c r="E16" s="80"/>
      <c r="F16" s="80"/>
      <c r="G16" s="105" t="s">
        <v>434</v>
      </c>
    </row>
    <row r="17" spans="2:18" ht="15">
      <c r="B17" s="109"/>
      <c r="C17" s="104" t="s">
        <v>964</v>
      </c>
      <c r="D17" s="104" t="s">
        <v>958</v>
      </c>
      <c r="E17" s="128">
        <v>217.18108995210142</v>
      </c>
      <c r="F17" s="128">
        <v>4454.9140767770832</v>
      </c>
      <c r="G17" s="106" t="s">
        <v>1027</v>
      </c>
      <c r="H17" s="87" t="s">
        <v>451</v>
      </c>
    </row>
    <row r="18" spans="2:18" ht="48" customHeight="1">
      <c r="B18" s="109" t="s">
        <v>982</v>
      </c>
      <c r="C18" s="104" t="s">
        <v>963</v>
      </c>
      <c r="D18" s="104" t="s">
        <v>958</v>
      </c>
      <c r="E18" s="128">
        <v>342.34666666666601</v>
      </c>
      <c r="F18" s="128">
        <v>7022.3654591999866</v>
      </c>
      <c r="G18" s="105" t="s">
        <v>434</v>
      </c>
      <c r="I18" s="301">
        <v>1623</v>
      </c>
      <c r="J18">
        <v>27042</v>
      </c>
    </row>
    <row r="19" spans="2:18" ht="15" customHeight="1">
      <c r="B19" s="319" t="s">
        <v>988</v>
      </c>
      <c r="C19" s="104" t="s">
        <v>962</v>
      </c>
      <c r="D19" s="104" t="s">
        <v>958</v>
      </c>
      <c r="E19" s="128">
        <v>187</v>
      </c>
      <c r="F19" s="128">
        <f>3827.00918674286+8801.47775520002</f>
        <v>12628.48694194288</v>
      </c>
      <c r="G19" s="105" t="s">
        <v>446</v>
      </c>
      <c r="I19" s="301">
        <v>754</v>
      </c>
      <c r="J19">
        <v>32806</v>
      </c>
    </row>
    <row r="20" spans="2:18" ht="16.5" customHeight="1">
      <c r="B20" s="320"/>
      <c r="C20" s="104" t="s">
        <v>961</v>
      </c>
      <c r="D20" s="104" t="s">
        <v>958</v>
      </c>
      <c r="E20" s="128"/>
      <c r="F20" s="128"/>
      <c r="G20" s="106" t="s">
        <v>1027</v>
      </c>
      <c r="H20" s="87" t="s">
        <v>446</v>
      </c>
      <c r="N20" s="83" t="s">
        <v>1304</v>
      </c>
    </row>
    <row r="21" spans="2:18" ht="15">
      <c r="B21" s="109" t="s">
        <v>987</v>
      </c>
      <c r="C21" s="104" t="s">
        <v>960</v>
      </c>
      <c r="D21" s="104" t="s">
        <v>958</v>
      </c>
      <c r="E21" s="128">
        <v>188.66894409937888</v>
      </c>
      <c r="F21" s="128">
        <v>3870.0603957018634</v>
      </c>
      <c r="G21" s="105" t="s">
        <v>446</v>
      </c>
      <c r="I21" s="301">
        <v>763</v>
      </c>
      <c r="J21">
        <v>24068</v>
      </c>
      <c r="N21" s="301"/>
      <c r="O21" s="301"/>
      <c r="P21" s="301"/>
      <c r="Q21" s="321" t="s">
        <v>1309</v>
      </c>
      <c r="R21" s="321"/>
    </row>
    <row r="22" spans="2:18" ht="15" customHeight="1">
      <c r="B22" s="109"/>
      <c r="C22" s="104" t="s">
        <v>959</v>
      </c>
      <c r="D22" s="104" t="s">
        <v>958</v>
      </c>
      <c r="E22" s="128">
        <v>196.99111111111114</v>
      </c>
      <c r="F22" s="128">
        <v>4040.7683472000003</v>
      </c>
      <c r="G22" s="106" t="s">
        <v>1027</v>
      </c>
      <c r="H22" s="87" t="s">
        <v>434</v>
      </c>
      <c r="N22" s="301"/>
      <c r="O22" s="301"/>
      <c r="P22" s="301"/>
      <c r="Q22" s="301" t="s">
        <v>1312</v>
      </c>
      <c r="R22" s="301" t="s">
        <v>1313</v>
      </c>
    </row>
    <row r="23" spans="2:18" ht="15">
      <c r="B23" s="110" t="s">
        <v>1019</v>
      </c>
      <c r="C23" s="104" t="s">
        <v>996</v>
      </c>
      <c r="D23" s="104" t="s">
        <v>958</v>
      </c>
      <c r="E23" s="128"/>
      <c r="F23" s="128">
        <v>822</v>
      </c>
      <c r="G23" s="109" t="s">
        <v>434</v>
      </c>
      <c r="N23" s="301"/>
      <c r="O23" s="301" t="s">
        <v>1307</v>
      </c>
      <c r="P23" s="301" t="s">
        <v>1028</v>
      </c>
      <c r="Q23" s="301" t="s">
        <v>1310</v>
      </c>
      <c r="R23" s="301" t="s">
        <v>1311</v>
      </c>
    </row>
    <row r="24" spans="2:18" ht="15">
      <c r="B24" s="110" t="s">
        <v>1024</v>
      </c>
      <c r="C24" s="104" t="s">
        <v>1001</v>
      </c>
      <c r="D24" s="104" t="s">
        <v>958</v>
      </c>
      <c r="E24" s="128"/>
      <c r="F24" s="128">
        <v>7227</v>
      </c>
      <c r="G24" s="109" t="s">
        <v>434</v>
      </c>
      <c r="N24" t="s">
        <v>956</v>
      </c>
      <c r="O24">
        <v>173</v>
      </c>
      <c r="P24">
        <v>67</v>
      </c>
      <c r="Q24">
        <v>2152970</v>
      </c>
      <c r="R24">
        <v>22864</v>
      </c>
    </row>
    <row r="25" spans="2:18" ht="15" customHeight="1">
      <c r="B25" s="127" t="s">
        <v>986</v>
      </c>
      <c r="C25" s="130" t="s">
        <v>995</v>
      </c>
      <c r="D25" s="130" t="s">
        <v>954</v>
      </c>
      <c r="E25" s="129"/>
      <c r="F25" s="129">
        <v>2430</v>
      </c>
      <c r="G25" s="109" t="s">
        <v>440</v>
      </c>
      <c r="H25" s="87"/>
      <c r="N25" t="s">
        <v>1305</v>
      </c>
      <c r="O25">
        <v>358</v>
      </c>
      <c r="P25">
        <v>77</v>
      </c>
      <c r="Q25">
        <v>6334609</v>
      </c>
      <c r="R25">
        <v>64415</v>
      </c>
    </row>
    <row r="26" spans="2:18" ht="15">
      <c r="B26" s="109" t="s">
        <v>985</v>
      </c>
      <c r="C26" s="130" t="s">
        <v>955</v>
      </c>
      <c r="D26" s="130" t="s">
        <v>954</v>
      </c>
      <c r="E26" s="78">
        <v>34.791517018356608</v>
      </c>
      <c r="F26" s="78">
        <v>1097.1852806908939</v>
      </c>
      <c r="G26" s="105" t="s">
        <v>434</v>
      </c>
      <c r="N26" t="s">
        <v>1306</v>
      </c>
      <c r="O26">
        <v>22</v>
      </c>
      <c r="P26">
        <v>3</v>
      </c>
      <c r="Q26">
        <v>6012730</v>
      </c>
      <c r="R26">
        <v>87673</v>
      </c>
    </row>
    <row r="27" spans="2:18" ht="15">
      <c r="B27" s="127" t="s">
        <v>1046</v>
      </c>
      <c r="C27" s="130" t="s">
        <v>1018</v>
      </c>
      <c r="D27" s="130" t="s">
        <v>954</v>
      </c>
      <c r="E27" s="129">
        <v>14</v>
      </c>
      <c r="F27" s="129">
        <f>(E27/E26)*F26</f>
        <v>441.50399999999996</v>
      </c>
      <c r="G27" s="109" t="s">
        <v>440</v>
      </c>
      <c r="H27" s="116"/>
      <c r="I27" s="1" t="s">
        <v>1029</v>
      </c>
      <c r="J27" s="1" t="s">
        <v>1028</v>
      </c>
      <c r="N27" t="s">
        <v>1308</v>
      </c>
      <c r="O27">
        <v>437</v>
      </c>
      <c r="P27">
        <v>45</v>
      </c>
      <c r="Q27">
        <v>241289</v>
      </c>
      <c r="R27">
        <v>12672</v>
      </c>
    </row>
    <row r="28" spans="2:18" ht="15">
      <c r="B28" s="109" t="s">
        <v>981</v>
      </c>
      <c r="C28" s="111" t="s">
        <v>990</v>
      </c>
      <c r="D28" s="112" t="s">
        <v>1034</v>
      </c>
      <c r="E28" s="113">
        <f>I28*$J$28</f>
        <v>63</v>
      </c>
      <c r="F28" s="114">
        <f>108*I28</f>
        <v>1944</v>
      </c>
      <c r="G28" s="106" t="s">
        <v>434</v>
      </c>
      <c r="H28" s="1"/>
      <c r="I28">
        <v>18</v>
      </c>
      <c r="J28">
        <v>3.5</v>
      </c>
      <c r="Q28" s="301" t="s">
        <v>1310</v>
      </c>
      <c r="R28" s="301" t="s">
        <v>1311</v>
      </c>
    </row>
    <row r="29" spans="2:18" ht="15">
      <c r="B29" s="109" t="s">
        <v>989</v>
      </c>
      <c r="C29" s="111" t="s">
        <v>992</v>
      </c>
      <c r="D29" s="112" t="s">
        <v>1034</v>
      </c>
      <c r="E29" s="113">
        <f t="shared" ref="E29:E30" si="3">I29*$J$28</f>
        <v>3.5</v>
      </c>
      <c r="F29" s="114">
        <f t="shared" ref="F29:F30" si="4">108*I29</f>
        <v>108</v>
      </c>
      <c r="G29" s="106" t="s">
        <v>1036</v>
      </c>
      <c r="H29" s="1"/>
      <c r="I29">
        <v>1</v>
      </c>
      <c r="N29" s="301" t="s">
        <v>1314</v>
      </c>
      <c r="Q29">
        <f>SUMPRODUCT(Q24:Q27,P24:P27)/SUM(P24:P27)</f>
        <v>3442239.9895833335</v>
      </c>
      <c r="R29">
        <f>SUMPRODUCT(R24:R27,P24:P27)/SUM(P24:P27)</f>
        <v>38151.572916666664</v>
      </c>
    </row>
    <row r="30" spans="2:18" ht="15">
      <c r="B30" s="109" t="s">
        <v>991</v>
      </c>
      <c r="C30" s="111" t="s">
        <v>993</v>
      </c>
      <c r="D30" s="112" t="s">
        <v>1034</v>
      </c>
      <c r="E30" s="113">
        <f t="shared" si="3"/>
        <v>3.5</v>
      </c>
      <c r="F30" s="114">
        <f t="shared" si="4"/>
        <v>108</v>
      </c>
      <c r="G30" s="106" t="s">
        <v>451</v>
      </c>
      <c r="H30" s="1"/>
      <c r="I30">
        <v>1</v>
      </c>
      <c r="Q30" s="301" t="s">
        <v>1318</v>
      </c>
      <c r="R30" s="301" t="s">
        <v>1319</v>
      </c>
    </row>
    <row r="31" spans="2:18" ht="15">
      <c r="B31" s="109" t="s">
        <v>1020</v>
      </c>
      <c r="C31" s="115" t="s">
        <v>997</v>
      </c>
      <c r="D31" s="126" t="s">
        <v>1044</v>
      </c>
      <c r="E31" s="115"/>
      <c r="F31" s="115">
        <v>612</v>
      </c>
      <c r="G31" s="109" t="s">
        <v>439</v>
      </c>
      <c r="N31" s="301" t="s">
        <v>1314</v>
      </c>
      <c r="Q31">
        <f>Q29/(SUM(O24:O27)/SUM(P24:P27))</f>
        <v>667585.93737373746</v>
      </c>
      <c r="R31">
        <f>R29/(SUM(O24:O27)/SUM(P24:P27))</f>
        <v>7399.0929292929286</v>
      </c>
    </row>
    <row r="32" spans="2:18" ht="15">
      <c r="B32" s="110" t="s">
        <v>1021</v>
      </c>
      <c r="C32" s="115" t="s">
        <v>998</v>
      </c>
      <c r="D32" s="126" t="s">
        <v>1045</v>
      </c>
      <c r="E32" s="115"/>
      <c r="F32" s="115">
        <v>1776</v>
      </c>
      <c r="G32" s="109" t="s">
        <v>456</v>
      </c>
    </row>
    <row r="33" spans="2:7" ht="15">
      <c r="B33" s="109" t="s">
        <v>1022</v>
      </c>
      <c r="C33" s="115" t="s">
        <v>999</v>
      </c>
      <c r="D33" s="126" t="s">
        <v>1045</v>
      </c>
      <c r="E33" s="115"/>
      <c r="F33" s="115">
        <v>1225</v>
      </c>
      <c r="G33" s="109" t="s">
        <v>448</v>
      </c>
    </row>
    <row r="34" spans="2:7" ht="15">
      <c r="B34" s="110" t="s">
        <v>1023</v>
      </c>
      <c r="C34" s="115" t="s">
        <v>1000</v>
      </c>
      <c r="D34" s="126" t="s">
        <v>1045</v>
      </c>
      <c r="E34" s="115"/>
      <c r="F34" s="115">
        <v>2465</v>
      </c>
      <c r="G34" s="109" t="s">
        <v>439</v>
      </c>
    </row>
    <row r="35" spans="2:7" ht="15">
      <c r="B35" s="109" t="s">
        <v>1025</v>
      </c>
      <c r="C35" s="108" t="s">
        <v>957</v>
      </c>
      <c r="D35" s="108" t="s">
        <v>956</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opLeftCell="A44" zoomScale="70" zoomScaleNormal="70" workbookViewId="0">
      <selection activeCell="D82" sqref="D82"/>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23" t="s">
        <v>1296</v>
      </c>
      <c r="H3" s="323"/>
      <c r="I3" s="323"/>
      <c r="J3" s="323"/>
    </row>
    <row r="4" spans="1:63" ht="36" customHeight="1" thickBot="1">
      <c r="A4" s="2" t="s">
        <v>1</v>
      </c>
      <c r="C4" s="2" t="s">
        <v>464</v>
      </c>
      <c r="E4" s="2" t="s">
        <v>1294</v>
      </c>
      <c r="G4" s="2" t="s">
        <v>1295</v>
      </c>
      <c r="H4" s="2" t="s">
        <v>1297</v>
      </c>
      <c r="I4" s="2" t="s">
        <v>1298</v>
      </c>
      <c r="J4" s="2" t="s">
        <v>1299</v>
      </c>
    </row>
    <row r="5" spans="1:63">
      <c r="A5" s="22">
        <v>0.03</v>
      </c>
      <c r="C5" s="22">
        <v>0.6</v>
      </c>
      <c r="E5" s="22">
        <v>0.5</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2" t="s">
        <v>1058</v>
      </c>
      <c r="E10" s="322"/>
      <c r="AI10" s="322" t="s">
        <v>1057</v>
      </c>
      <c r="AJ10" s="322"/>
    </row>
    <row r="11" spans="1:63" ht="15">
      <c r="C11" s="138" t="s">
        <v>0</v>
      </c>
      <c r="D11" s="138" t="s">
        <v>476</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476</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465</v>
      </c>
      <c r="D12" s="134" t="s">
        <v>1048</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465</v>
      </c>
      <c r="AI12" s="134" t="s">
        <v>1048</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1049</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1049</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1050</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1050</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466</v>
      </c>
      <c r="D15" s="136" t="s">
        <v>1048</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466</v>
      </c>
      <c r="AI15" s="136" t="s">
        <v>1048</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1049</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1049</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1050</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1050</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467</v>
      </c>
      <c r="D18" s="134" t="s">
        <v>1048</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467</v>
      </c>
      <c r="AI18" s="134" t="s">
        <v>1048</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1049</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1049</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1050</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1050</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468</v>
      </c>
      <c r="D21" s="136" t="s">
        <v>1048</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468</v>
      </c>
      <c r="AI21" s="136" t="s">
        <v>1048</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1049</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1049</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1050</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1050</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1055</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558</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1052</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1053</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1051</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1052</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1053</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1051</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1054</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2" t="s">
        <v>1056</v>
      </c>
      <c r="E35" s="322"/>
    </row>
    <row r="36" spans="1:32" ht="15">
      <c r="C36" s="138" t="s">
        <v>0</v>
      </c>
      <c r="D36" s="138" t="s">
        <v>476</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465</v>
      </c>
      <c r="D37" s="134" t="s">
        <v>1048</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1049</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1050</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466</v>
      </c>
      <c r="D40" s="136" t="s">
        <v>1048</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1049</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1050</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467</v>
      </c>
      <c r="D43" s="134" t="s">
        <v>1048</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1049</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1050</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468</v>
      </c>
      <c r="D46" s="136" t="s">
        <v>1048</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1049</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1050</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1154</v>
      </c>
      <c r="AG50" s="23" t="s">
        <v>1303</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9.5663640000000019</v>
      </c>
      <c r="E52" s="26">
        <f>SUMIFS(Table1[SumHD_TJ],Table1[Region],$E$51,Table1[Group],A52)/1000*E5*$C$5</f>
        <v>0</v>
      </c>
      <c r="F52" s="26">
        <f>SUMIFS(Table1[SumHD_TJ],Table1[Region],$F$51,Table1[Group],A52)/1000*E5*$C$5</f>
        <v>6.297072</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1.3773630000000001</v>
      </c>
      <c r="S52">
        <f>SUMIFS(Table1[SumHD_TJ],Table1[Region],$S$51,Table1[Group],A52)/1000*E5*$C$5</f>
        <v>0</v>
      </c>
      <c r="T52">
        <f>SUMIFS(Table1[SumHD_TJ],Table1[Region],$T$51,Table1[Group],A52)/1000*E5*$C$5</f>
        <v>0.701214</v>
      </c>
      <c r="U52">
        <f>SUMIFS(Table1[SumHD_TJ],Table1[Region],$U$51,Table1[Group],A52)/1000*E5*$C$5</f>
        <v>0</v>
      </c>
      <c r="V52">
        <f>SUMIFS(Table1[SumHD_TJ],Table1[Region],$V$51,Table1[Group],A52)/1000*E5*$C$5</f>
        <v>0.41596199999999994</v>
      </c>
      <c r="W52">
        <f>SUMIFS(Table1[SumHD_TJ],Table1[Region],$W$51,Table1[Group],A52)/1000*E5*$C$5</f>
        <v>0.77475300000000002</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9.5663640000000019</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7.2158429999999978</v>
      </c>
      <c r="E53" s="26">
        <f>SUMIFS(Table1[SumHD_TJ],Table1[Region],$E$51,Table1[Group],A53)/1000*E5*$C$5</f>
        <v>0</v>
      </c>
      <c r="F53" s="26">
        <f>SUMIFS(Table1[SumHD_TJ],Table1[Region],$F$51,Table1[Group],A53)/1000*E5*$C$5</f>
        <v>0.84281700000000004</v>
      </c>
      <c r="G53" s="26">
        <f>SUMIFS(Table1[SumHD_TJ],Table1[Region],$G$51,Table1[Group],A53)/1000*E5*$C$5</f>
        <v>0.8007780000000001</v>
      </c>
      <c r="H53" s="26">
        <f>SUMIFS(Table1[SumHD_TJ],Table1[Region],$H$51,Table1[Group],A53)/1000*E5*$C$5</f>
        <v>0.39286799999999994</v>
      </c>
      <c r="I53" s="26">
        <f>SUMIFS(Table1[SumHD_TJ],Table1[Region],$I$51,Table1[Group],A53)/1000*E5*$C$5</f>
        <v>0.22286399999999998</v>
      </c>
      <c r="J53" s="26">
        <f>SUMIFS(Table1[SumHD_TJ],Table1[Region],$J$51,Table1[Group],A53)/1000*E5*$C$5</f>
        <v>0.12480899999999998</v>
      </c>
      <c r="K53" s="26">
        <f>SUMIFS(Table1[SumHD_TJ],Table1[Region],$K$51,Table1[Group],A53)/1000*E5*$C$5</f>
        <v>0.48468</v>
      </c>
      <c r="L53" s="26">
        <f>SUMIFS(Table1[SumHD_TJ],Table1[Region],$L$51,Table1[Group],A53)/1000*E5*$C$5</f>
        <v>0.55059000000000002</v>
      </c>
      <c r="M53" s="26">
        <f>SUMIFS(Table1[SumHD_TJ],Table1[Region],$M$51,Table1[Group],A53)/1000*E5*$C$5</f>
        <v>0.22191</v>
      </c>
      <c r="N53">
        <f>SUMIFS(Table1[SumHD_TJ],Table1[Region],$N$51,Table1[Group],A53)/1000*E5*$C$5</f>
        <v>0.151641</v>
      </c>
      <c r="O53">
        <f>SUMIFS(Table1[SumHD_TJ],Table1[Region],$O$51,Table1[Group],A53)/1000*E5*$C$5</f>
        <v>0.38567999999999997</v>
      </c>
      <c r="P53">
        <f>SUMIFS(Table1[SumHD_TJ],Table1[Region],$P$51,Table1[Group],A53)/1000*E5*$C$5</f>
        <v>0.35320799999999997</v>
      </c>
      <c r="Q53">
        <f>SUMIFS(Table1[SumHD_TJ],Table1[Region],$Q$51,Table1[Group],A53)/1000*E5*$C$5</f>
        <v>0.28965600000000002</v>
      </c>
      <c r="R53">
        <f>SUMIFS(Table1[SumHD_TJ],Table1[Region],$R$51,Table1[Group],A53)/1000*E5*$C$5</f>
        <v>0.50301899999999988</v>
      </c>
      <c r="S53">
        <f>SUMIFS(Table1[SumHD_TJ],Table1[Region],$S$51,Table1[Group],A53)/1000*E5*$C$5</f>
        <v>0</v>
      </c>
      <c r="T53">
        <f>SUMIFS(Table1[SumHD_TJ],Table1[Region],$T$51,Table1[Group],A53)/1000*E5*$C$5</f>
        <v>1.5975E-2</v>
      </c>
      <c r="U53">
        <f>SUMIFS(Table1[SumHD_TJ],Table1[Region],$U$51,Table1[Group],A53)/1000*E5*$C$5</f>
        <v>0.34867799999999999</v>
      </c>
      <c r="V53">
        <f>SUMIFS(Table1[SumHD_TJ],Table1[Region],$V$51,Table1[Group],A53)/1000*E5*$C$5</f>
        <v>9.5147999999999983E-2</v>
      </c>
      <c r="W53">
        <f>SUMIFS(Table1[SumHD_TJ],Table1[Region],$W$51,Table1[Group],A53)/1000*E5*$C$5</f>
        <v>9.6197999999999978E-2</v>
      </c>
      <c r="X53">
        <f>SUMIFS(Table1[SumHD_TJ],Table1[Region],$X$51,Table1[Group],A53)/1000*E5*$C$5</f>
        <v>6.3615000000000005E-2</v>
      </c>
      <c r="Y53">
        <f>SUMIFS(Table1[SumHD_TJ],Table1[Region],$Y$51,Table1[Group],A53)/1000*E5*$C$5</f>
        <v>0.176175</v>
      </c>
      <c r="Z53">
        <f>SUMIFS(Table1[SumHD_TJ],Table1[Region],$Z$51,Table1[Group],A53)/1000*E5*$C$5</f>
        <v>0.29157899999999998</v>
      </c>
      <c r="AA53">
        <f>SUMIFS(Table1[SumHD_TJ],Table1[Region],$AA$51,Table1[Group],A53)/1000*E5*$C$5</f>
        <v>0.231345</v>
      </c>
      <c r="AB53">
        <f>SUMIFS(Table1[SumHD_TJ],Table1[Region],$AB$51,Table1[Group],A53)/1000*E5*$C$5</f>
        <v>0.15250499999999997</v>
      </c>
      <c r="AC53">
        <f>SUMIFS(Table1[SumHD_TJ],Table1[Region],$AC$51,Table1[Group],A53)/1000*E5*$C$5</f>
        <v>0.34796699999999997</v>
      </c>
      <c r="AD53">
        <f>SUMIFS(Table1[SumHD_TJ],Table1[Region],$AD$51,Table1[Group],A53)/1000*E5*$C$5</f>
        <v>7.2137999999999994E-2</v>
      </c>
      <c r="AE53" s="26">
        <f t="shared" ref="AE53:AE55" si="19">D53</f>
        <v>7.2158429999999978</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3.0874229999999989</v>
      </c>
      <c r="E54" s="26">
        <f>SUMIFS(Table1[SumHD_TJ],Table1[Region],$E$51,Table1[Group],A54)/1000*E5*$C$5</f>
        <v>0.16825799999999999</v>
      </c>
      <c r="F54" s="26">
        <f>SUMIFS(Table1[SumHD_TJ],Table1[Region],$F$51,Table1[Group],A54)/1000*E5*$C$5</f>
        <v>0.23466299999999998</v>
      </c>
      <c r="G54" s="26">
        <f>SUMIFS(Table1[SumHD_TJ],Table1[Region],$G$51,Table1[Group],A54)/1000*E5*$C$5</f>
        <v>0.22631400000000002</v>
      </c>
      <c r="H54" s="26">
        <f>SUMIFS(Table1[SumHD_TJ],Table1[Region],$H$51,Table1[Group],A54)/1000*E5*$C$5</f>
        <v>4.3128E-2</v>
      </c>
      <c r="I54" s="26">
        <f>SUMIFS(Table1[SumHD_TJ],Table1[Region],$I$51,Table1[Group],A54)/1000*E5*$C$5</f>
        <v>1.2485999999999999E-2</v>
      </c>
      <c r="J54" s="26">
        <f>SUMIFS(Table1[SumHD_TJ],Table1[Region],$J$51,Table1[Group],A54)/1000*E5*$C$5</f>
        <v>2.4135E-2</v>
      </c>
      <c r="K54" s="26">
        <f>SUMIFS(Table1[SumHD_TJ],Table1[Region],$K$51,Table1[Group],A54)/1000*E5*$C$5</f>
        <v>1.9145999999999996E-2</v>
      </c>
      <c r="L54" s="26">
        <f>SUMIFS(Table1[SumHD_TJ],Table1[Region],$L$51,Table1[Group],A54)/1000*E5*$C$5</f>
        <v>0.4289909999999999</v>
      </c>
      <c r="M54" s="26">
        <f>SUMIFS(Table1[SumHD_TJ],Table1[Region],$M$51,Table1[Group],A54)/1000*E5*$C$5</f>
        <v>6.2433000000000002E-2</v>
      </c>
      <c r="N54">
        <f>SUMIFS(Table1[SumHD_TJ],Table1[Region],$N$51,Table1[Group],A54)/1000*E5*$C$5</f>
        <v>0</v>
      </c>
      <c r="O54">
        <f>SUMIFS(Table1[SumHD_TJ],Table1[Region],$O$51,Table1[Group],A54)/1000*E5*$C$5</f>
        <v>7.7754000000000004E-2</v>
      </c>
      <c r="P54">
        <f>SUMIFS(Table1[SumHD_TJ],Table1[Region],$P$51,Table1[Group],A54)/1000*E5*$C$5</f>
        <v>0.20075099999999999</v>
      </c>
      <c r="Q54">
        <f>SUMIFS(Table1[SumHD_TJ],Table1[Region],$Q$51,Table1[Group],A54)/1000*E5*$C$5</f>
        <v>3.5345999999999995E-2</v>
      </c>
      <c r="R54">
        <f>SUMIFS(Table1[SumHD_TJ],Table1[Region],$R$51,Table1[Group],A54)/1000*E5*$C$5</f>
        <v>0.33431399999999994</v>
      </c>
      <c r="S54">
        <f>SUMIFS(Table1[SumHD_TJ],Table1[Region],$S$51,Table1[Group],A54)/1000*E5*$C$5</f>
        <v>0.270237</v>
      </c>
      <c r="T54">
        <f>SUMIFS(Table1[SumHD_TJ],Table1[Region],$T$51,Table1[Group],A54)/1000*E5*$C$5</f>
        <v>0.15687000000000004</v>
      </c>
      <c r="U54">
        <f>SUMIFS(Table1[SumHD_TJ],Table1[Region],$U$51,Table1[Group],A54)/1000*E5*$C$5</f>
        <v>7.9449000000000006E-2</v>
      </c>
      <c r="V54">
        <f>SUMIFS(Table1[SumHD_TJ],Table1[Region],$V$51,Table1[Group],A54)/1000*E5*$C$5</f>
        <v>9.3041999999999986E-2</v>
      </c>
      <c r="W54">
        <f>SUMIFS(Table1[SumHD_TJ],Table1[Region],$W$51,Table1[Group],A54)/1000*E5*$C$5</f>
        <v>0.19185899999999997</v>
      </c>
      <c r="X54">
        <f>SUMIFS(Table1[SumHD_TJ],Table1[Region],$X$51,Table1[Group],A54)/1000*E5*$C$5</f>
        <v>1.1765999999999999E-2</v>
      </c>
      <c r="Y54">
        <f>SUMIFS(Table1[SumHD_TJ],Table1[Region],$Y$51,Table1[Group],A54)/1000*E5*$C$5</f>
        <v>0.14861999999999997</v>
      </c>
      <c r="Z54">
        <f>SUMIFS(Table1[SumHD_TJ],Table1[Region],$Z$51,Table1[Group],A54)/1000*E5*$C$5</f>
        <v>3.0180000000000002E-2</v>
      </c>
      <c r="AA54">
        <f>SUMIFS(Table1[SumHD_TJ],Table1[Region],$AA$51,Table1[Group],A54)/1000*E5*$C$5</f>
        <v>3.6446999999999993E-2</v>
      </c>
      <c r="AB54">
        <f>SUMIFS(Table1[SumHD_TJ],Table1[Region],$AB$51,Table1[Group],A54)/1000*E5*$C$5</f>
        <v>6.364199999999999E-2</v>
      </c>
      <c r="AC54">
        <f>SUMIFS(Table1[SumHD_TJ],Table1[Region],$AC$51,Table1[Group],A54)/1000*E5*$C$5</f>
        <v>3.7172999999999998E-2</v>
      </c>
      <c r="AD54">
        <f>SUMIFS(Table1[SumHD_TJ],Table1[Region],$AD$51,Table1[Group],A54)/1000*E5*$C$5</f>
        <v>0.10041900000000001</v>
      </c>
      <c r="AE54" s="26">
        <f t="shared" si="19"/>
        <v>3.0874229999999989</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0.76089300000000015</v>
      </c>
      <c r="E55" s="26">
        <f>SUMIFS(Table1[SumHD_TJ],Table1[Region],$E$51,Table1[Group],A55)/1000*E5*$C$5</f>
        <v>2.3229E-2</v>
      </c>
      <c r="F55" s="26">
        <f>SUMIFS(Table1[SumHD_TJ],Table1[Region],$F$51,Table1[Group],A55)/1000*E5*$C$5</f>
        <v>3.7919999999999998E-3</v>
      </c>
      <c r="G55" s="26">
        <f>SUMIFS(Table1[SumHD_TJ],Table1[Region],$G$51,Table1[Group],A55)/1000*E5*$C$5</f>
        <v>3.0456000000000007E-2</v>
      </c>
      <c r="H55" s="26">
        <f>SUMIFS(Table1[SumHD_TJ],Table1[Region],$H$51,Table1[Group],A55)/1000*E5*$C$5</f>
        <v>1.5650999999999998E-2</v>
      </c>
      <c r="I55" s="26">
        <f>SUMIFS(Table1[SumHD_TJ],Table1[Region],$I$51,Table1[Group],A55)/1000*E5*$C$5</f>
        <v>2.1557999999999994E-2</v>
      </c>
      <c r="J55" s="26">
        <f>SUMIFS(Table1[SumHD_TJ],Table1[Region],$J$51,Table1[Group],A55)/1000*E5*$C$5</f>
        <v>7.2779999999999989E-3</v>
      </c>
      <c r="K55" s="26">
        <f>SUMIFS(Table1[SumHD_TJ],Table1[Region],$K$51,Table1[Group],A55)/1000*E5*$C$5</f>
        <v>2.9408999999999998E-2</v>
      </c>
      <c r="L55" s="26">
        <f>SUMIFS(Table1[SumHD_TJ],Table1[Region],$L$51,Table1[Group],A55)/1000*E5*$C$5</f>
        <v>1.0284E-2</v>
      </c>
      <c r="M55" s="26">
        <f>SUMIFS(Table1[SumHD_TJ],Table1[Region],$M$51,Table1[Group],A55)/1000*E5*$C$5</f>
        <v>2.2893E-2</v>
      </c>
      <c r="N55">
        <f>SUMIFS(Table1[SumHD_TJ],Table1[Region],$N$51,Table1[Group],A55)/1000*E5*$C$5</f>
        <v>1.0265999999999999E-2</v>
      </c>
      <c r="O55">
        <f>SUMIFS(Table1[SumHD_TJ],Table1[Region],$O$51,Table1[Group],A55)/1000*E5*$C$5</f>
        <v>3.7370999999999995E-2</v>
      </c>
      <c r="P55">
        <f>SUMIFS(Table1[SumHD_TJ],Table1[Region],$P$51,Table1[Group],A55)/1000*E5*$C$5</f>
        <v>4.2869999999999998E-2</v>
      </c>
      <c r="Q55">
        <f>SUMIFS(Table1[SumHD_TJ],Table1[Region],$Q$51,Table1[Group],A55)/1000*E5*$C$5</f>
        <v>2.7005999999999999E-2</v>
      </c>
      <c r="R55">
        <f>SUMIFS(Table1[SumHD_TJ],Table1[Region],$R$51,Table1[Group],A55)/1000*E5*$C$5</f>
        <v>8.3739000000000008E-2</v>
      </c>
      <c r="S55">
        <f>SUMIFS(Table1[SumHD_TJ],Table1[Region],$S$51,Table1[Group],A55)/1000*E5*$C$5</f>
        <v>5.3835000000000001E-2</v>
      </c>
      <c r="T55">
        <f>SUMIFS(Table1[SumHD_TJ],Table1[Region],$T$51,Table1[Group],A55)/1000*E5*$C$5</f>
        <v>6.5345999999999987E-2</v>
      </c>
      <c r="U55">
        <f>SUMIFS(Table1[SumHD_TJ],Table1[Region],$U$51,Table1[Group],A55)/1000*E5*$C$5</f>
        <v>1.3236000000000001E-2</v>
      </c>
      <c r="V55">
        <f>SUMIFS(Table1[SumHD_TJ],Table1[Region],$V$51,Table1[Group],A55)/1000*E5*$C$5</f>
        <v>2.3030999999999996E-2</v>
      </c>
      <c r="W55">
        <f>SUMIFS(Table1[SumHD_TJ],Table1[Region],$W$51,Table1[Group],A55)/1000*E5*$C$5</f>
        <v>3.6566999999999995E-2</v>
      </c>
      <c r="X55">
        <f>SUMIFS(Table1[SumHD_TJ],Table1[Region],$X$51,Table1[Group],A55)/1000*E5*$C$5</f>
        <v>1.6835999999999997E-2</v>
      </c>
      <c r="Y55">
        <f>SUMIFS(Table1[SumHD_TJ],Table1[Region],$Y$51,Table1[Group],A55)/1000*E5*$C$5</f>
        <v>3.1112999999999995E-2</v>
      </c>
      <c r="Z55">
        <f>SUMIFS(Table1[SumHD_TJ],Table1[Region],$Z$51,Table1[Group],A55)/1000*E5*$C$5</f>
        <v>1.3835999999999998E-2</v>
      </c>
      <c r="AA55">
        <f>SUMIFS(Table1[SumHD_TJ],Table1[Region],$AA$51,Table1[Group],A55)/1000*E5*$C$5</f>
        <v>2.9484E-2</v>
      </c>
      <c r="AB55">
        <f>SUMIFS(Table1[SumHD_TJ],Table1[Region],$AB$51,Table1[Group],A55)/1000*E5*$C$5</f>
        <v>1.44E-2</v>
      </c>
      <c r="AC55">
        <f>SUMIFS(Table1[SumHD_TJ],Table1[Region],$AC$51,Table1[Group],A55)/1000*E5*$C$5</f>
        <v>8.6070000000000008E-2</v>
      </c>
      <c r="AD55">
        <f>SUMIFS(Table1[SumHD_TJ],Table1[Region],$AD$51,Table1[Group],A55)/1000*E5*$C$5</f>
        <v>1.1336999999999998E-2</v>
      </c>
      <c r="AE55" s="26">
        <f t="shared" si="19"/>
        <v>0.76089300000000015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1154</v>
      </c>
      <c r="AG57" s="23" t="s">
        <v>1303</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6.3775760000000012</v>
      </c>
      <c r="E59" s="26">
        <f>SUMIFS(Table1[SumHD_TJ],Table1[Region],$E$51,Table1[Group],A59)/1000*E5*(1-$C$5)</f>
        <v>0</v>
      </c>
      <c r="F59" s="26">
        <f>SUMIFS(Table1[SumHD_TJ],Table1[Region],$F$51,Table1[Group],A59)/1000*E5*(1-$C$5)</f>
        <v>4.198048</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0.91824200000000011</v>
      </c>
      <c r="S59">
        <f>SUMIFS(Table1[SumHD_TJ],Table1[Region],$S$51,Table1[Group],A59)/1000*E5*(1-$C$5)</f>
        <v>0</v>
      </c>
      <c r="T59">
        <f>SUMIFS(Table1[SumHD_TJ],Table1[Region],$T$51,Table1[Group],A59)/1000*E5*(1-$C$5)</f>
        <v>0.467476</v>
      </c>
      <c r="U59">
        <f>SUMIFS(Table1[SumHD_TJ],Table1[Region],$U$51,Table1[Group],A59)/1000*E5*(1-$C$5)</f>
        <v>0</v>
      </c>
      <c r="V59">
        <f>SUMIFS(Table1[SumHD_TJ],Table1[Region],$V$51,Table1[Group],A59)/1000*E5*(1-$C$5)</f>
        <v>0.277308</v>
      </c>
      <c r="W59">
        <f>SUMIFS(Table1[SumHD_TJ],Table1[Region],$W$51,Table1[Group],A59)/1000*E5*(1-$C$5)</f>
        <v>0.51650200000000002</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6.3775760000000012</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4.8105619999999991</v>
      </c>
      <c r="E60" s="26">
        <f>SUMIFS(Table1[SumHD_TJ],Table1[Region],$E$51,Table1[Group],A60)/1000*E5*(1-$C$5)</f>
        <v>0</v>
      </c>
      <c r="F60" s="26">
        <f>SUMIFS(Table1[SumHD_TJ],Table1[Region],$F$51,Table1[Group],A60)/1000*E5*(1-$C$5)</f>
        <v>0.56187799999999999</v>
      </c>
      <c r="G60" s="26">
        <f>SUMIFS(Table1[SumHD_TJ],Table1[Region],$G$51,Table1[Group],A60)/1000*E5*(1-$C$5)</f>
        <v>0.5338520000000001</v>
      </c>
      <c r="H60" s="26">
        <f>SUMIFS(Table1[SumHD_TJ],Table1[Region],$H$51,Table1[Group],A60)/1000*E5*(1-$C$5)</f>
        <v>0.26191199999999998</v>
      </c>
      <c r="I60" s="26">
        <f>SUMIFS(Table1[SumHD_TJ],Table1[Region],$I$51,Table1[Group],A60)/1000*E5*(1-$C$5)</f>
        <v>0.14857600000000001</v>
      </c>
      <c r="J60" s="26">
        <f>SUMIFS(Table1[SumHD_TJ],Table1[Region],$J$51,Table1[Group],A60)/1000*E5*(1-$C$5)</f>
        <v>8.3206000000000002E-2</v>
      </c>
      <c r="K60" s="26">
        <f>SUMIFS(Table1[SumHD_TJ],Table1[Region],$K$51,Table1[Group],A60)/1000*E5*(1-$C$5)</f>
        <v>0.32312000000000007</v>
      </c>
      <c r="L60" s="26">
        <f>SUMIFS(Table1[SumHD_TJ],Table1[Region],$L$51,Table1[Group],A60)/1000*E5*(1-$C$5)</f>
        <v>0.36706000000000005</v>
      </c>
      <c r="M60" s="26">
        <f>SUMIFS(Table1[SumHD_TJ],Table1[Region],$M$51,Table1[Group],A60)/1000*E5*(1-$C$5)</f>
        <v>0.14794000000000002</v>
      </c>
      <c r="N60">
        <f>SUMIFS(Table1[SumHD_TJ],Table1[Region],$N$51,Table1[Group],A60)/1000*E5*(1-$C$5)</f>
        <v>0.101094</v>
      </c>
      <c r="O60">
        <f>SUMIFS(Table1[SumHD_TJ],Table1[Region],$O$51,Table1[Group],A60)/1000*E5*(1-$C$5)</f>
        <v>0.25711999999999996</v>
      </c>
      <c r="P60">
        <f>SUMIFS(Table1[SumHD_TJ],Table1[Region],$P$51,Table1[Group],A60)/1000*E5*(1-$C$5)</f>
        <v>0.23547200000000001</v>
      </c>
      <c r="Q60">
        <f>SUMIFS(Table1[SumHD_TJ],Table1[Region],$Q$51,Table1[Group],A60)/1000*E5*(1-$C$5)</f>
        <v>0.19310400000000003</v>
      </c>
      <c r="R60">
        <f>SUMIFS(Table1[SumHD_TJ],Table1[Region],$R$51,Table1[Group],A60)/1000*E5*(1-$C$5)</f>
        <v>0.33534599999999998</v>
      </c>
      <c r="S60">
        <f>SUMIFS(Table1[SumHD_TJ],Table1[Region],$S$51,Table1[Group],A60)/1000*E5*(1-$C$5)</f>
        <v>0</v>
      </c>
      <c r="T60">
        <f>SUMIFS(Table1[SumHD_TJ],Table1[Region],$T$51,Table1[Group],A60)/1000*E5*(1-$C$5)</f>
        <v>1.065E-2</v>
      </c>
      <c r="U60">
        <f>SUMIFS(Table1[SumHD_TJ],Table1[Region],$U$51,Table1[Group],A60)/1000*E5*(1-$C$5)</f>
        <v>0.23245200000000002</v>
      </c>
      <c r="V60">
        <f>SUMIFS(Table1[SumHD_TJ],Table1[Region],$V$51,Table1[Group],A60)/1000*E5*(1-$C$5)</f>
        <v>6.3431999999999988E-2</v>
      </c>
      <c r="W60">
        <f>SUMIFS(Table1[SumHD_TJ],Table1[Region],$W$51,Table1[Group],A60)/1000*E5*(1-$C$5)</f>
        <v>6.4131999999999995E-2</v>
      </c>
      <c r="X60">
        <f>SUMIFS(Table1[SumHD_TJ],Table1[Region],$X$51,Table1[Group],A60)/1000*E5*(1-$C$5)</f>
        <v>4.2410000000000003E-2</v>
      </c>
      <c r="Y60">
        <f>SUMIFS(Table1[SumHD_TJ],Table1[Region],$Y$51,Table1[Group],A60)/1000*E5*(1-$C$5)</f>
        <v>0.11745000000000001</v>
      </c>
      <c r="Z60">
        <f>SUMIFS(Table1[SumHD_TJ],Table1[Region],$Z$51,Table1[Group],A60)/1000*E5*(1-$C$5)</f>
        <v>0.194386</v>
      </c>
      <c r="AA60">
        <f>SUMIFS(Table1[SumHD_TJ],Table1[Region],$AA$51,Table1[Group],A60)/1000*E5*(1-$C$5)</f>
        <v>0.15423000000000001</v>
      </c>
      <c r="AB60">
        <f>SUMIFS(Table1[SumHD_TJ],Table1[Region],$AB$51,Table1[Group],A60)/1000*E5*(1-$C$5)</f>
        <v>0.10167</v>
      </c>
      <c r="AC60">
        <f>SUMIFS(Table1[SumHD_TJ],Table1[Region],$AC$51,Table1[Group],A60)/1000*E5*(1-$C$5)</f>
        <v>0.23197799999999999</v>
      </c>
      <c r="AD60">
        <f>SUMIFS(Table1[SumHD_TJ],Table1[Region],$AD$51,Table1[Group],A60)/1000*E5*(1-$C$5)</f>
        <v>4.8091999999999996E-2</v>
      </c>
      <c r="AE60" s="26">
        <f t="shared" ref="AE60:AE62" si="20">D60</f>
        <v>4.8105619999999991</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2.0582819999999997</v>
      </c>
      <c r="E61" s="26">
        <f>SUMIFS(Table1[SumHD_TJ],Table1[Region],$E$51,Table1[Group],A61)/1000*E5*(1-$C$5)</f>
        <v>0.11217200000000001</v>
      </c>
      <c r="F61" s="26">
        <f>SUMIFS(Table1[SumHD_TJ],Table1[Region],$F$51,Table1[Group],A61)/1000*E5*(1-$C$5)</f>
        <v>0.156442</v>
      </c>
      <c r="G61" s="26">
        <f>SUMIFS(Table1[SumHD_TJ],Table1[Region],$G$51,Table1[Group],A61)/1000*E5*(1-$C$5)</f>
        <v>0.15087600000000001</v>
      </c>
      <c r="H61" s="26">
        <f>SUMIFS(Table1[SumHD_TJ],Table1[Region],$H$51,Table1[Group],A61)/1000*E5*(1-$C$5)</f>
        <v>2.8752E-2</v>
      </c>
      <c r="I61" s="26">
        <f>SUMIFS(Table1[SumHD_TJ],Table1[Region],$I$51,Table1[Group],A61)/1000*E5*(1-$C$5)</f>
        <v>8.3239999999999998E-3</v>
      </c>
      <c r="J61" s="26">
        <f>SUMIFS(Table1[SumHD_TJ],Table1[Region],$J$51,Table1[Group],A61)/1000*E5*(1-$C$5)</f>
        <v>1.6090000000000004E-2</v>
      </c>
      <c r="K61" s="26">
        <f>SUMIFS(Table1[SumHD_TJ],Table1[Region],$K$51,Table1[Group],A61)/1000*E5*(1-$C$5)</f>
        <v>1.2763999999999998E-2</v>
      </c>
      <c r="L61" s="26">
        <f>SUMIFS(Table1[SumHD_TJ],Table1[Region],$L$51,Table1[Group],A61)/1000*E5*(1-$C$5)</f>
        <v>0.28599399999999997</v>
      </c>
      <c r="M61" s="26">
        <f>SUMIFS(Table1[SumHD_TJ],Table1[Region],$M$51,Table1[Group],A61)/1000*E5*(1-$C$5)</f>
        <v>4.1622000000000006E-2</v>
      </c>
      <c r="N61">
        <f>SUMIFS(Table1[SumHD_TJ],Table1[Region],$N$51,Table1[Group],A61)/1000*E5*(1-$C$5)</f>
        <v>0</v>
      </c>
      <c r="O61">
        <f>SUMIFS(Table1[SumHD_TJ],Table1[Region],$O$51,Table1[Group],A61)/1000*E5*(1-$C$5)</f>
        <v>5.1836000000000007E-2</v>
      </c>
      <c r="P61">
        <f>SUMIFS(Table1[SumHD_TJ],Table1[Region],$P$51,Table1[Group],A61)/1000*E5*(1-$C$5)</f>
        <v>0.13383399999999998</v>
      </c>
      <c r="Q61">
        <f>SUMIFS(Table1[SumHD_TJ],Table1[Region],$Q$51,Table1[Group],A61)/1000*E5*(1-$C$5)</f>
        <v>2.3564000000000002E-2</v>
      </c>
      <c r="R61">
        <f>SUMIFS(Table1[SumHD_TJ],Table1[Region],$R$51,Table1[Group],A61)/1000*E5*(1-$C$5)</f>
        <v>0.22287599999999999</v>
      </c>
      <c r="S61">
        <f>SUMIFS(Table1[SumHD_TJ],Table1[Region],$S$51,Table1[Group],A61)/1000*E5*(1-$C$5)</f>
        <v>0.18015800000000004</v>
      </c>
      <c r="T61">
        <f>SUMIFS(Table1[SumHD_TJ],Table1[Region],$T$51,Table1[Group],A61)/1000*E5*(1-$C$5)</f>
        <v>0.10458000000000003</v>
      </c>
      <c r="U61">
        <f>SUMIFS(Table1[SumHD_TJ],Table1[Region],$U$51,Table1[Group],A61)/1000*E5*(1-$C$5)</f>
        <v>5.2966000000000006E-2</v>
      </c>
      <c r="V61">
        <f>SUMIFS(Table1[SumHD_TJ],Table1[Region],$V$51,Table1[Group],A61)/1000*E5*(1-$C$5)</f>
        <v>6.2028E-2</v>
      </c>
      <c r="W61">
        <f>SUMIFS(Table1[SumHD_TJ],Table1[Region],$W$51,Table1[Group],A61)/1000*E5*(1-$C$5)</f>
        <v>0.12790599999999999</v>
      </c>
      <c r="X61">
        <f>SUMIFS(Table1[SumHD_TJ],Table1[Region],$X$51,Table1[Group],A61)/1000*E5*(1-$C$5)</f>
        <v>7.8440000000000003E-3</v>
      </c>
      <c r="Y61">
        <f>SUMIFS(Table1[SumHD_TJ],Table1[Region],$Y$51,Table1[Group],A61)/1000*E5*(1-$C$5)</f>
        <v>9.9080000000000001E-2</v>
      </c>
      <c r="Z61">
        <f>SUMIFS(Table1[SumHD_TJ],Table1[Region],$Z$51,Table1[Group],A61)/1000*E5*(1-$C$5)</f>
        <v>2.0120000000000002E-2</v>
      </c>
      <c r="AA61">
        <f>SUMIFS(Table1[SumHD_TJ],Table1[Region],$AA$51,Table1[Group],A61)/1000*E5*(1-$C$5)</f>
        <v>2.4298E-2</v>
      </c>
      <c r="AB61">
        <f>SUMIFS(Table1[SumHD_TJ],Table1[Region],$AB$51,Table1[Group],A61)/1000*E5*(1-$C$5)</f>
        <v>4.2428E-2</v>
      </c>
      <c r="AC61">
        <f>SUMIFS(Table1[SumHD_TJ],Table1[Region],$AC$51,Table1[Group],A61)/1000*E5*(1-$C$5)</f>
        <v>2.4781999999999998E-2</v>
      </c>
      <c r="AD61">
        <f>SUMIFS(Table1[SumHD_TJ],Table1[Region],$AD$51,Table1[Group],A61)/1000*E5*(1-$C$5)</f>
        <v>6.6946000000000006E-2</v>
      </c>
      <c r="AE61" s="26">
        <f t="shared" si="20"/>
        <v>2.0582819999999997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0.50726200000000021</v>
      </c>
      <c r="E62" s="26">
        <f>SUMIFS(Table1[SumHD_TJ],Table1[Region],$E$51,Table1[Group],A62)/1000*E5*(1-$C$5)</f>
        <v>1.5486E-2</v>
      </c>
      <c r="F62" s="26">
        <f>SUMIFS(Table1[SumHD_TJ],Table1[Region],$F$51,Table1[Group],A62)/1000*E5*(1-$C$5)</f>
        <v>2.5280000000000003E-3</v>
      </c>
      <c r="G62" s="26">
        <f>SUMIFS(Table1[SumHD_TJ],Table1[Region],$G$51,Table1[Group],A62)/1000*E5*(1-$C$5)</f>
        <v>2.0304000000000006E-2</v>
      </c>
      <c r="H62" s="26">
        <f>SUMIFS(Table1[SumHD_TJ],Table1[Region],$H$51,Table1[Group],A62)/1000*E5*(1-$C$5)</f>
        <v>1.0434000000000001E-2</v>
      </c>
      <c r="I62" s="26">
        <f>SUMIFS(Table1[SumHD_TJ],Table1[Region],$I$51,Table1[Group],A62)/1000*E5*(1-$C$5)</f>
        <v>1.4371999999999996E-2</v>
      </c>
      <c r="J62" s="26">
        <f>SUMIFS(Table1[SumHD_TJ],Table1[Region],$J$51,Table1[Group],A62)/1000*E5*(1-$C$5)</f>
        <v>4.8519999999999995E-3</v>
      </c>
      <c r="K62" s="26">
        <f>SUMIFS(Table1[SumHD_TJ],Table1[Region],$K$51,Table1[Group],A62)/1000*E5*(1-$C$5)</f>
        <v>1.9605999999999998E-2</v>
      </c>
      <c r="L62" s="26">
        <f>SUMIFS(Table1[SumHD_TJ],Table1[Region],$L$51,Table1[Group],A62)/1000*E5*(1-$C$5)</f>
        <v>6.8560000000000001E-3</v>
      </c>
      <c r="M62" s="26">
        <f>SUMIFS(Table1[SumHD_TJ],Table1[Region],$M$51,Table1[Group],A62)/1000*E5*(1-$C$5)</f>
        <v>1.5262000000000001E-2</v>
      </c>
      <c r="N62">
        <f>SUMIFS(Table1[SumHD_TJ],Table1[Region],$N$51,Table1[Group],A62)/1000*E5*(1-$C$5)</f>
        <v>6.8440000000000003E-3</v>
      </c>
      <c r="O62">
        <f>SUMIFS(Table1[SumHD_TJ],Table1[Region],$O$51,Table1[Group],A62)/1000*E5*(1-$C$5)</f>
        <v>2.4913999999999999E-2</v>
      </c>
      <c r="P62">
        <f>SUMIFS(Table1[SumHD_TJ],Table1[Region],$P$51,Table1[Group],A62)/1000*E5*(1-$C$5)</f>
        <v>2.8580000000000001E-2</v>
      </c>
      <c r="Q62">
        <f>SUMIFS(Table1[SumHD_TJ],Table1[Region],$Q$51,Table1[Group],A62)/1000*E5*(1-$C$5)</f>
        <v>1.8004000000000003E-2</v>
      </c>
      <c r="R62">
        <f>SUMIFS(Table1[SumHD_TJ],Table1[Region],$R$51,Table1[Group],A62)/1000*E5*(1-$C$5)</f>
        <v>5.5826000000000015E-2</v>
      </c>
      <c r="S62">
        <f>SUMIFS(Table1[SumHD_TJ],Table1[Region],$S$51,Table1[Group],A62)/1000*E5*(1-$C$5)</f>
        <v>3.5889999999999998E-2</v>
      </c>
      <c r="T62">
        <f>SUMIFS(Table1[SumHD_TJ],Table1[Region],$T$51,Table1[Group],A62)/1000*E5*(1-$C$5)</f>
        <v>4.3563999999999992E-2</v>
      </c>
      <c r="U62">
        <f>SUMIFS(Table1[SumHD_TJ],Table1[Region],$U$51,Table1[Group],A62)/1000*E5*(1-$C$5)</f>
        <v>8.824000000000002E-3</v>
      </c>
      <c r="V62">
        <f>SUMIFS(Table1[SumHD_TJ],Table1[Region],$V$51,Table1[Group],A62)/1000*E5*(1-$C$5)</f>
        <v>1.5354E-2</v>
      </c>
      <c r="W62">
        <f>SUMIFS(Table1[SumHD_TJ],Table1[Region],$W$51,Table1[Group],A62)/1000*E5*(1-$C$5)</f>
        <v>2.4377999999999997E-2</v>
      </c>
      <c r="X62">
        <f>SUMIFS(Table1[SumHD_TJ],Table1[Region],$X$51,Table1[Group],A62)/1000*E5*(1-$C$5)</f>
        <v>1.1224E-2</v>
      </c>
      <c r="Y62">
        <f>SUMIFS(Table1[SumHD_TJ],Table1[Region],$Y$51,Table1[Group],A62)/1000*E5*(1-$C$5)</f>
        <v>2.0741999999999997E-2</v>
      </c>
      <c r="Z62">
        <f>SUMIFS(Table1[SumHD_TJ],Table1[Region],$Z$51,Table1[Group],A62)/1000*E5*(1-$C$5)</f>
        <v>9.2239999999999996E-3</v>
      </c>
      <c r="AA62">
        <f>SUMIFS(Table1[SumHD_TJ],Table1[Region],$AA$51,Table1[Group],A62)/1000*E5*(1-$C$5)</f>
        <v>1.9656000000000003E-2</v>
      </c>
      <c r="AB62">
        <f>SUMIFS(Table1[SumHD_TJ],Table1[Region],$AB$51,Table1[Group],A62)/1000*E5*(1-$C$5)</f>
        <v>9.6000000000000009E-3</v>
      </c>
      <c r="AC62">
        <f>SUMIFS(Table1[SumHD_TJ],Table1[Region],$AC$51,Table1[Group],A62)/1000*E5*(1-$C$5)</f>
        <v>5.7380000000000014E-2</v>
      </c>
      <c r="AD62">
        <f>SUMIFS(Table1[SumHD_TJ],Table1[Region],$AD$51,Table1[Group],A62)/1000*E5*(1-$C$5)</f>
        <v>7.5579999999999996E-3</v>
      </c>
      <c r="AE62" s="26">
        <f t="shared" si="20"/>
        <v>0.50726200000000021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IFERROR(SUMPRODUCT((Table1[Group]=A66)*(Table1[Avg_DCCH_50percDH])*(Table1[SumHD_TJ]/((G5)))),0)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6.26</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5.88</v>
      </c>
      <c r="S66" s="26" cm="1">
        <f t="array" ref="S66">IFERROR(SUMPRODUCT((Table1[Region]=S$65)*(Table1[Group]=$A66)*(Table1[Avg_DCCH_50percDH])*(Table1[SumHD_TJ]/((S52+S59)*1000))),0)</f>
        <v>0</v>
      </c>
      <c r="T66" s="26" cm="1">
        <f t="array" ref="T66">IFERROR(SUMPRODUCT((Table1[Region]=T$65)*(Table1[Group]=$A66)*(Table1[Avg_DCCH_50percDH])*(Table1[SumHD_TJ]/((T52+T59)*1000))),0)</f>
        <v>6.46</v>
      </c>
      <c r="U66" s="26" cm="1">
        <f t="array" ref="U66">IFERROR(SUMPRODUCT((Table1[Region]=U$65)*(Table1[Group]=$A66)*(Table1[Avg_DCCH_50percDH])*(Table1[SumHD_TJ]/((U52+U59)*1000))),0)</f>
        <v>0</v>
      </c>
      <c r="V66" s="26" cm="1">
        <f t="array" ref="V66">IFERROR(SUMPRODUCT((Table1[Region]=V$65)*(Table1[Group]=$A66)*(Table1[Avg_DCCH_50percDH])*(Table1[SumHD_TJ]/((V52+V59)*1000))),0)</f>
        <v>4.9000000000000004</v>
      </c>
      <c r="W66" s="26" cm="1">
        <f t="array" ref="W66">IFERROR(SUMPRODUCT((Table1[Region]=W$65)*(Table1[Group]=$A66)*(Table1[Avg_DCCH_50percDH])*(Table1[SumHD_TJ]/((W52+W59)*1000))),0)</f>
        <v>5.28</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466</v>
      </c>
      <c r="D67" s="26" cm="1">
        <f t="array" ref="D67">IFERROR(SUMPRODUCT((Table1[Group]=A67)*(Table1[Avg_DCCH_50percDH])*(Table1[SumHD_TJ]/((H5)))),0)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8.7235264594805262</v>
      </c>
      <c r="G67" s="26" cm="1">
        <f t="array" ref="G67">IFERROR(SUMPRODUCT((Table1[Region]=G$65)*(Table1[Group]=$A67)*(Table1[Avg_DCCH_50percDH])*(Table1[SumHD_TJ]/((G53+G60)*1000))),0)</f>
        <v>4.9007416287660241</v>
      </c>
      <c r="H67" s="26" cm="1">
        <f t="array" ref="H67">IFERROR(SUMPRODUCT((Table1[Region]=H$65)*(Table1[Group]=$A67)*(Table1[Avg_DCCH_50percDH])*(Table1[SumHD_TJ]/((H53+H60)*1000))),0)</f>
        <v>5.089104737469075</v>
      </c>
      <c r="I67" s="26" cm="1">
        <f t="array" ref="I67">IFERROR(SUMPRODUCT((Table1[Region]=I$65)*(Table1[Group]=$A67)*(Table1[Avg_DCCH_50percDH])*(Table1[SumHD_TJ]/((I53+I60)*1000))),0)</f>
        <v>5.1502463385741972</v>
      </c>
      <c r="J67" s="26" cm="1">
        <f t="array" ref="J67">IFERROR(SUMPRODUCT((Table1[Region]=J$65)*(Table1[Group]=$A67)*(Table1[Avg_DCCH_50percDH])*(Table1[SumHD_TJ]/((J53+J60)*1000))),0)</f>
        <v>6.7451621277311737</v>
      </c>
      <c r="K67" s="26" cm="1">
        <f t="array" ref="K67">IFERROR(SUMPRODUCT((Table1[Region]=K$65)*(Table1[Group]=$A67)*(Table1[Avg_DCCH_50percDH])*(Table1[SumHD_TJ]/((K53+K60)*1000))),0)</f>
        <v>5.5121554840306999</v>
      </c>
      <c r="L67" s="26" cm="1">
        <f t="array" ref="L67">IFERROR(SUMPRODUCT((Table1[Region]=L$65)*(Table1[Group]=$A67)*(Table1[Avg_DCCH_50percDH])*(Table1[SumHD_TJ]/((L53+L60)*1000))),0)</f>
        <v>5.3818968016128146</v>
      </c>
      <c r="M67" s="26" cm="1">
        <f t="array" ref="M67">IFERROR(SUMPRODUCT((Table1[Region]=M$65)*(Table1[Group]=$A67)*(Table1[Avg_DCCH_50percDH])*(Table1[SumHD_TJ]/((M53+M60)*1000))),0)</f>
        <v>5.7981914289576855</v>
      </c>
      <c r="N67" s="26" cm="1">
        <f t="array" ref="N67">IFERROR(SUMPRODUCT((Table1[Region]=N$65)*(Table1[Group]=$A67)*(Table1[Avg_DCCH_50percDH])*(Table1[SumHD_TJ]/((N53+N60)*1000))),0)</f>
        <v>5.6133752744970025</v>
      </c>
      <c r="O67" s="26" cm="1">
        <f t="array" ref="O67">IFERROR(SUMPRODUCT((Table1[Region]=O$65)*(Table1[Group]=$A67)*(Table1[Avg_DCCH_50percDH])*(Table1[SumHD_TJ]/((O53+O60)*1000))),0)</f>
        <v>6.5400987865588043</v>
      </c>
      <c r="P67" s="26" cm="1">
        <f t="array" ref="P67">IFERROR(SUMPRODUCT((Table1[Region]=P$65)*(Table1[Group]=$A67)*(Table1[Avg_DCCH_50percDH])*(Table1[SumHD_TJ]/((P53+P60)*1000))),0)</f>
        <v>6.6970138275463764</v>
      </c>
      <c r="Q67" s="26" cm="1">
        <f t="array" ref="Q67">IFERROR(SUMPRODUCT((Table1[Region]=Q$65)*(Table1[Group]=$A67)*(Table1[Avg_DCCH_50percDH])*(Table1[SumHD_TJ]/((Q53+Q60)*1000))),0)</f>
        <v>8.7548782003479957</v>
      </c>
      <c r="R67" s="26" cm="1">
        <f t="array" ref="R67">IFERROR(SUMPRODUCT((Table1[Region]=R$65)*(Table1[Group]=$A67)*(Table1[Avg_DCCH_50percDH])*(Table1[SumHD_TJ]/((R53+R60)*1000))),0)</f>
        <v>6.4552127056830866</v>
      </c>
      <c r="S67" s="26" cm="1">
        <f t="array" ref="S67">IFERROR(SUMPRODUCT((Table1[Region]=S$65)*(Table1[Group]=$A67)*(Table1[Avg_DCCH_50percDH])*(Table1[SumHD_TJ]/((S53+S60)*1000))),0)</f>
        <v>0</v>
      </c>
      <c r="T67" s="26" cm="1">
        <f t="array" ref="T67">IFERROR(SUMPRODUCT((Table1[Region]=T$65)*(Table1[Group]=$A67)*(Table1[Avg_DCCH_50percDH])*(Table1[SumHD_TJ]/((T53+T60)*1000))),0)</f>
        <v>2.5001765258215962</v>
      </c>
      <c r="U67" s="26" cm="1">
        <f t="array" ref="U67">IFERROR(SUMPRODUCT((Table1[Region]=U$65)*(Table1[Group]=$A67)*(Table1[Avg_DCCH_50percDH])*(Table1[SumHD_TJ]/((U53+U60)*1000))),0)</f>
        <v>8.5880914769500798</v>
      </c>
      <c r="V67" s="26" cm="1">
        <f t="array" ref="V67">IFERROR(SUMPRODUCT((Table1[Region]=V$65)*(Table1[Group]=$A67)*(Table1[Avg_DCCH_50percDH])*(Table1[SumHD_TJ]/((V53+V60)*1000))),0)</f>
        <v>6.0148341531088416</v>
      </c>
      <c r="W67" s="26" cm="1">
        <f t="array" ref="W67">IFERROR(SUMPRODUCT((Table1[Region]=W$65)*(Table1[Group]=$A67)*(Table1[Avg_DCCH_50percDH])*(Table1[SumHD_TJ]/((W53+W60)*1000))),0)</f>
        <v>7.2207758997068545</v>
      </c>
      <c r="X67" s="26" cm="1">
        <f t="array" ref="X67">IFERROR(SUMPRODUCT((Table1[Region]=X$65)*(Table1[Group]=$A67)*(Table1[Avg_DCCH_50percDH])*(Table1[SumHD_TJ]/((X53+X60)*1000))),0)</f>
        <v>7.2</v>
      </c>
      <c r="Y67" s="26" cm="1">
        <f t="array" ref="Y67">IFERROR(SUMPRODUCT((Table1[Region]=Y$65)*(Table1[Group]=$A67)*(Table1[Avg_DCCH_50percDH])*(Table1[SumHD_TJ]/((Y53+Y60)*1000))),0)</f>
        <v>5.9181006385696033</v>
      </c>
      <c r="Z67" s="26" cm="1">
        <f t="array" ref="Z67">IFERROR(SUMPRODUCT((Table1[Region]=Z$65)*(Table1[Group]=$A67)*(Table1[Avg_DCCH_50percDH])*(Table1[SumHD_TJ]/((Z53+Z60)*1000))),0)</f>
        <v>7.5513993806138302</v>
      </c>
      <c r="AA67" s="26" cm="1">
        <f t="array" ref="AA67">IFERROR(SUMPRODUCT((Table1[Region]=AA$65)*(Table1[Group]=$A67)*(Table1[Avg_DCCH_50percDH])*(Table1[SumHD_TJ]/((AA53+AA60)*1000))),0)</f>
        <v>5.8354224210594561</v>
      </c>
      <c r="AB67" s="26" cm="1">
        <f t="array" ref="AB67">IFERROR(SUMPRODUCT((Table1[Region]=AB$65)*(Table1[Group]=$A67)*(Table1[Avg_DCCH_50percDH])*(Table1[SumHD_TJ]/((AB53+AB60)*1000))),0)</f>
        <v>4.9766515196223073</v>
      </c>
      <c r="AC67" s="26" cm="1">
        <f t="array" ref="AC67">IFERROR(SUMPRODUCT((Table1[Region]=AC$65)*(Table1[Group]=$A67)*(Table1[Avg_DCCH_50percDH])*(Table1[SumHD_TJ]/((AC53+AC60)*1000))),0)</f>
        <v>6.5702951141918646</v>
      </c>
      <c r="AD67" s="26" cm="1">
        <f t="array" ref="AD67">IFERROR(SUMPRODUCT((Table1[Region]=AD$65)*(Table1[Group]=$A67)*(Table1[Avg_DCCH_50percDH])*(Table1[SumHD_TJ]/((AD53+AD60)*1000))),0)</f>
        <v>7.2117341761623566</v>
      </c>
      <c r="AE67" s="26">
        <f t="shared" ref="AE67:AE69" si="21">D67</f>
        <v>3.2309610776202544</v>
      </c>
    </row>
    <row r="68" spans="1:31">
      <c r="A68">
        <v>2</v>
      </c>
      <c r="C68" s="25" t="s">
        <v>467</v>
      </c>
      <c r="D68" s="26" cm="1">
        <f t="array" ref="D68">IFERROR(SUMPRODUCT((Table1[Group]=A68)*(Table1[Avg_DCCH_50percDH])*(Table1[SumHD_TJ]/((I5)))),0)</f>
        <v>5.6752616266640743</v>
      </c>
      <c r="E68" s="26" cm="1">
        <f t="array" ref="E68">IFERROR(SUMPRODUCT((Table1[Region]=E$65)*(Table1[Group]=$A68)*(Table1[Avg_DCCH_50percDH])*(Table1[SumHD_TJ]/((E54+E61)*1000))),0)</f>
        <v>8.1586941482722963</v>
      </c>
      <c r="F68" s="26" cm="1">
        <f t="array" ref="F68">IFERROR(SUMPRODUCT((Table1[Region]=F$65)*(Table1[Group]=$A68)*(Table1[Avg_DCCH_50percDH])*(Table1[SumHD_TJ]/((F54+F61)*1000))),0)</f>
        <v>13.318701627440204</v>
      </c>
      <c r="G68" s="26" cm="1">
        <f t="array" ref="G68">IFERROR(SUMPRODUCT((Table1[Region]=G$65)*(Table1[Group]=$A68)*(Table1[Avg_DCCH_50percDH])*(Table1[SumHD_TJ]/((G54+G61)*1000))),0)</f>
        <v>11.914371802009596</v>
      </c>
      <c r="H68" s="26" cm="1">
        <f t="array" ref="H68">IFERROR(SUMPRODUCT((Table1[Region]=H$65)*(Table1[Group]=$A68)*(Table1[Avg_DCCH_50percDH])*(Table1[SumHD_TJ]/((H54+H61)*1000))),0)</f>
        <v>17.835438230383975</v>
      </c>
      <c r="I68" s="26" cm="1">
        <f t="array" ref="I68">IFERROR(SUMPRODUCT((Table1[Region]=I$65)*(Table1[Group]=$A68)*(Table1[Avg_DCCH_50percDH])*(Table1[SumHD_TJ]/((I54+I61)*1000))),0)</f>
        <v>10.424978375780874</v>
      </c>
      <c r="J68" s="26" cm="1">
        <f t="array" ref="J68">IFERROR(SUMPRODUCT((Table1[Region]=J$65)*(Table1[Group]=$A68)*(Table1[Avg_DCCH_50percDH])*(Table1[SumHD_TJ]/((J54+J61)*1000))),0)</f>
        <v>14.584527035425729</v>
      </c>
      <c r="K68" s="26" cm="1">
        <f t="array" ref="K68">IFERROR(SUMPRODUCT((Table1[Region]=K$65)*(Table1[Group]=$A68)*(Table1[Avg_DCCH_50percDH])*(Table1[SumHD_TJ]/((K54+K61)*1000))),0)</f>
        <v>11.279172673143218</v>
      </c>
      <c r="L68" s="26" cm="1">
        <f t="array" ref="L68">IFERROR(SUMPRODUCT((Table1[Region]=L$65)*(Table1[Group]=$A68)*(Table1[Avg_DCCH_50percDH])*(Table1[SumHD_TJ]/((L54+L61)*1000))),0)</f>
        <v>10.632142352636773</v>
      </c>
      <c r="M68" s="26" cm="1">
        <f t="array" ref="M68">IFERROR(SUMPRODUCT((Table1[Region]=M$65)*(Table1[Group]=$A68)*(Table1[Avg_DCCH_50percDH])*(Table1[SumHD_TJ]/((M54+M61)*1000))),0)</f>
        <v>11.451398779491614</v>
      </c>
      <c r="N68" s="26" cm="1">
        <f t="array" ref="N68">IFERROR(SUMPRODUCT((Table1[Region]=N$65)*(Table1[Group]=$A68)*(Table1[Avg_DCCH_50percDH])*(Table1[SumHD_TJ]/((N54+N61)*1000))),0)</f>
        <v>0</v>
      </c>
      <c r="O68" s="26" cm="1">
        <f t="array" ref="O68">IFERROR(SUMPRODUCT((Table1[Region]=O$65)*(Table1[Group]=$A68)*(Table1[Avg_DCCH_50percDH])*(Table1[SumHD_TJ]/((O54+O61)*1000))),0)</f>
        <v>14.040398950536307</v>
      </c>
      <c r="P68" s="26" cm="1">
        <f t="array" ref="P68">IFERROR(SUMPRODUCT((Table1[Region]=P$65)*(Table1[Group]=$A68)*(Table1[Avg_DCCH_50percDH])*(Table1[SumHD_TJ]/((P54+P61)*1000))),0)</f>
        <v>11.748643842371894</v>
      </c>
      <c r="Q68" s="26" cm="1">
        <f t="array" ref="Q68">IFERROR(SUMPRODUCT((Table1[Region]=Q$65)*(Table1[Group]=$A68)*(Table1[Avg_DCCH_50percDH])*(Table1[SumHD_TJ]/((Q54+Q61)*1000))),0)</f>
        <v>15.837424885418436</v>
      </c>
      <c r="R68" s="26" cm="1">
        <f t="array" ref="R68">IFERROR(SUMPRODUCT((Table1[Region]=R$65)*(Table1[Group]=$A68)*(Table1[Avg_DCCH_50percDH])*(Table1[SumHD_TJ]/((R54+R61)*1000))),0)</f>
        <v>11.580844595200919</v>
      </c>
      <c r="S68" s="26" cm="1">
        <f t="array" ref="S68">IFERROR(SUMPRODUCT((Table1[Region]=S$65)*(Table1[Group]=$A68)*(Table1[Avg_DCCH_50percDH])*(Table1[SumHD_TJ]/((S54+S61)*1000))),0)</f>
        <v>7.4508737885633725</v>
      </c>
      <c r="T68" s="26" cm="1">
        <f t="array" ref="T68">IFERROR(SUMPRODUCT((Table1[Region]=T$65)*(Table1[Group]=$A68)*(Table1[Avg_DCCH_50percDH])*(Table1[SumHD_TJ]/((T54+T61)*1000))),0)</f>
        <v>11.393539873780835</v>
      </c>
      <c r="U68" s="26" cm="1">
        <f t="array" ref="U68">IFERROR(SUMPRODUCT((Table1[Region]=U$65)*(Table1[Group]=$A68)*(Table1[Avg_DCCH_50percDH])*(Table1[SumHD_TJ]/((U54+U61)*1000))),0)</f>
        <v>12.005891326511348</v>
      </c>
      <c r="V68" s="26" cm="1">
        <f t="array" ref="V68">IFERROR(SUMPRODUCT((Table1[Region]=V$65)*(Table1[Group]=$A68)*(Table1[Avg_DCCH_50percDH])*(Table1[SumHD_TJ]/((V54+V61)*1000))),0)</f>
        <v>14.646871735345329</v>
      </c>
      <c r="W68" s="26" cm="1">
        <f t="array" ref="W68">IFERROR(SUMPRODUCT((Table1[Region]=W$65)*(Table1[Group]=$A68)*(Table1[Avg_DCCH_50percDH])*(Table1[SumHD_TJ]/((W54+W61)*1000))),0)</f>
        <v>11.387012962644443</v>
      </c>
      <c r="X68" s="26" cm="1">
        <f t="array" ref="X68">IFERROR(SUMPRODUCT((Table1[Region]=X$65)*(Table1[Group]=$A68)*(Table1[Avg_DCCH_50percDH])*(Table1[SumHD_TJ]/((X54+X61)*1000))),0)</f>
        <v>13.99942376338603</v>
      </c>
      <c r="Y68" s="26" cm="1">
        <f t="array" ref="Y68">IFERROR(SUMPRODUCT((Table1[Region]=Y$65)*(Table1[Group]=$A68)*(Table1[Avg_DCCH_50percDH])*(Table1[SumHD_TJ]/((Y54+Y61)*1000))),0)</f>
        <v>11.167215583366977</v>
      </c>
      <c r="Z68" s="26" cm="1">
        <f t="array" ref="Z68">IFERROR(SUMPRODUCT((Table1[Region]=Z$65)*(Table1[Group]=$A68)*(Table1[Avg_DCCH_50percDH])*(Table1[SumHD_TJ]/((Z54+Z61)*1000))),0)</f>
        <v>12.369703777335985</v>
      </c>
      <c r="AA68" s="26" cm="1">
        <f t="array" ref="AA68">IFERROR(SUMPRODUCT((Table1[Region]=AA$65)*(Table1[Group]=$A68)*(Table1[Avg_DCCH_50percDH])*(Table1[SumHD_TJ]/((AA54+AA61)*1000))),0)</f>
        <v>11.841730183554205</v>
      </c>
      <c r="AB68" s="26" cm="1">
        <f t="array" ref="AB68">IFERROR(SUMPRODUCT((Table1[Region]=AB$65)*(Table1[Group]=$A68)*(Table1[Avg_DCCH_50percDH])*(Table1[SumHD_TJ]/((AB54+AB61)*1000))),0)</f>
        <v>12.525251249175074</v>
      </c>
      <c r="AC68" s="26" cm="1">
        <f t="array" ref="AC68">IFERROR(SUMPRODUCT((Table1[Region]=AC$65)*(Table1[Group]=$A68)*(Table1[Avg_DCCH_50percDH])*(Table1[SumHD_TJ]/((AC54+AC61)*1000))),0)</f>
        <v>13.006683883463804</v>
      </c>
      <c r="AD68" s="26" cm="1">
        <f t="array" ref="AD68">IFERROR(SUMPRODUCT((Table1[Region]=AD$65)*(Table1[Group]=$A68)*(Table1[Avg_DCCH_50percDH])*(Table1[SumHD_TJ]/((AD54+AD61)*1000))),0)</f>
        <v>10.065850685627222</v>
      </c>
      <c r="AE68" s="26">
        <f t="shared" si="21"/>
        <v>5.6752616266640743</v>
      </c>
    </row>
    <row r="69" spans="1:31">
      <c r="A69">
        <v>3</v>
      </c>
      <c r="C69" s="25" t="s">
        <v>468</v>
      </c>
      <c r="D69" s="26" cm="1">
        <f t="array" ref="D69">IFERROR(SUMPRODUCT((Table1[Group]=A69)*(Table1[Avg_DCCH_50percDH])*(Table1[SumHD_TJ]/((J5)))),0)</f>
        <v>12.179460331230288</v>
      </c>
      <c r="E69" s="26" cm="1">
        <f t="array" ref="E69">IFERROR(SUMPRODUCT((Table1[Region]=E$65)*(Table1[Group]=$A69)*(Table1[Avg_DCCH_50percDH])*(Table1[SumHD_TJ]/((E55+E62)*1000))),0)</f>
        <v>21.274485341598869</v>
      </c>
      <c r="F69" s="26" cm="1">
        <f t="array" ref="F69">IFERROR(SUMPRODUCT((Table1[Region]=F$65)*(Table1[Group]=$A69)*(Table1[Avg_DCCH_50percDH])*(Table1[SumHD_TJ]/((F55+F62)*1000))),0)</f>
        <v>41</v>
      </c>
      <c r="G69" s="26" cm="1">
        <f t="array" ref="G69">IFERROR(SUMPRODUCT((Table1[Region]=G$65)*(Table1[Group]=$A69)*(Table1[Avg_DCCH_50percDH])*(Table1[SumHD_TJ]/((G55+G62)*1000))),0)</f>
        <v>27.59183412135539</v>
      </c>
      <c r="H69" s="26" cm="1">
        <f t="array" ref="H69">IFERROR(SUMPRODUCT((Table1[Region]=H$65)*(Table1[Group]=$A69)*(Table1[Avg_DCCH_50percDH])*(Table1[SumHD_TJ]/((H55+H62)*1000))),0)</f>
        <v>24.861981981981984</v>
      </c>
      <c r="I69" s="26" cm="1">
        <f t="array" ref="I69">IFERROR(SUMPRODUCT((Table1[Region]=I$65)*(Table1[Group]=$A69)*(Table1[Avg_DCCH_50percDH])*(Table1[SumHD_TJ]/((I55+I62)*1000))),0)</f>
        <v>24.14863067074868</v>
      </c>
      <c r="J69" s="26" cm="1">
        <f t="array" ref="J69">IFERROR(SUMPRODUCT((Table1[Region]=J$65)*(Table1[Group]=$A69)*(Table1[Avg_DCCH_50percDH])*(Table1[SumHD_TJ]/((J55+J62)*1000))),0)</f>
        <v>30.676240725474038</v>
      </c>
      <c r="K69" s="26" cm="1">
        <f t="array" ref="K69">IFERROR(SUMPRODUCT((Table1[Region]=K$65)*(Table1[Group]=$A69)*(Table1[Avg_DCCH_50percDH])*(Table1[SumHD_TJ]/((K55+K62)*1000))),0)</f>
        <v>25.884104865857395</v>
      </c>
      <c r="L69" s="26" cm="1">
        <f t="array" ref="L69">IFERROR(SUMPRODUCT((Table1[Region]=L$65)*(Table1[Group]=$A69)*(Table1[Avg_DCCH_50percDH])*(Table1[SumHD_TJ]/((L55+L62)*1000))),0)</f>
        <v>28.290093348891482</v>
      </c>
      <c r="M69" s="26" cm="1">
        <f t="array" ref="M69">IFERROR(SUMPRODUCT((Table1[Region]=M$65)*(Table1[Group]=$A69)*(Table1[Avg_DCCH_50percDH])*(Table1[SumHD_TJ]/((M55+M62)*1000))),0)</f>
        <v>23.339289739221595</v>
      </c>
      <c r="N69" s="26" cm="1">
        <f t="array" ref="N69">IFERROR(SUMPRODUCT((Table1[Region]=N$65)*(Table1[Group]=$A69)*(Table1[Avg_DCCH_50percDH])*(Table1[SumHD_TJ]/((N55+N62)*1000))),0)</f>
        <v>23.565803623611924</v>
      </c>
      <c r="O69" s="26" cm="1">
        <f t="array" ref="O69">IFERROR(SUMPRODUCT((Table1[Region]=O$65)*(Table1[Group]=$A69)*(Table1[Avg_DCCH_50percDH])*(Table1[SumHD_TJ]/((O55+O62)*1000))),0)</f>
        <v>23.499685317492176</v>
      </c>
      <c r="P69" s="26" cm="1">
        <f t="array" ref="P69">IFERROR(SUMPRODUCT((Table1[Region]=P$65)*(Table1[Group]=$A69)*(Table1[Avg_DCCH_50percDH])*(Table1[SumHD_TJ]/((P55+P62)*1000))),0)</f>
        <v>28.591202239328201</v>
      </c>
      <c r="Q69" s="26" cm="1">
        <f t="array" ref="Q69">IFERROR(SUMPRODUCT((Table1[Region]=Q$65)*(Table1[Group]=$A69)*(Table1[Avg_DCCH_50percDH])*(Table1[SumHD_TJ]/((Q55+Q62)*1000))),0)</f>
        <v>26.439906687402804</v>
      </c>
      <c r="R69" s="26" cm="1">
        <f t="array" ref="R69">IFERROR(SUMPRODUCT((Table1[Region]=R$65)*(Table1[Group]=$A69)*(Table1[Avg_DCCH_50percDH])*(Table1[SumHD_TJ]/((R55+R62)*1000))),0)</f>
        <v>19.880557446351162</v>
      </c>
      <c r="S69" s="26" cm="1">
        <f t="array" ref="S69">IFERROR(SUMPRODUCT((Table1[Region]=S$65)*(Table1[Group]=$A69)*(Table1[Avg_DCCH_50percDH])*(Table1[SumHD_TJ]/((S55+S62)*1000))),0)</f>
        <v>23.064913903594316</v>
      </c>
      <c r="T69" s="26" cm="1">
        <f t="array" ref="T69">IFERROR(SUMPRODUCT((Table1[Region]=T$65)*(Table1[Group]=$A69)*(Table1[Avg_DCCH_50percDH])*(Table1[SumHD_TJ]/((T55+T62)*1000))),0)</f>
        <v>24.018161784960064</v>
      </c>
      <c r="U69" s="26" cm="1">
        <f t="array" ref="U69">IFERROR(SUMPRODUCT((Table1[Region]=U$65)*(Table1[Group]=$A69)*(Table1[Avg_DCCH_50percDH])*(Table1[SumHD_TJ]/((U55+U62)*1000))),0)</f>
        <v>24.814990933816862</v>
      </c>
      <c r="V69" s="26" cm="1">
        <f t="array" ref="V69">IFERROR(SUMPRODUCT((Table1[Region]=V$65)*(Table1[Group]=$A69)*(Table1[Avg_DCCH_50percDH])*(Table1[SumHD_TJ]/((V55+V62)*1000))),0)</f>
        <v>23.348096912856583</v>
      </c>
      <c r="W69" s="26" cm="1">
        <f t="array" ref="W69">IFERROR(SUMPRODUCT((Table1[Region]=W$65)*(Table1[Group]=$A69)*(Table1[Avg_DCCH_50percDH])*(Table1[SumHD_TJ]/((W55+W62)*1000))),0)</f>
        <v>24.344523750922967</v>
      </c>
      <c r="X69" s="26" cm="1">
        <f t="array" ref="X69">IFERROR(SUMPRODUCT((Table1[Region]=X$65)*(Table1[Group]=$A69)*(Table1[Avg_DCCH_50percDH])*(Table1[SumHD_TJ]/((X55+X62)*1000))),0)</f>
        <v>21.401094084105491</v>
      </c>
      <c r="Y69" s="26" cm="1">
        <f t="array" ref="Y69">IFERROR(SUMPRODUCT((Table1[Region]=Y$65)*(Table1[Group]=$A69)*(Table1[Avg_DCCH_50percDH])*(Table1[SumHD_TJ]/((Y55+Y62)*1000))),0)</f>
        <v>27.989777263523294</v>
      </c>
      <c r="Z69" s="26" cm="1">
        <f t="array" ref="Z69">IFERROR(SUMPRODUCT((Table1[Region]=Z$65)*(Table1[Group]=$A69)*(Table1[Avg_DCCH_50percDH])*(Table1[SumHD_TJ]/((Z55+Z62)*1000))),0)</f>
        <v>22.916201214223765</v>
      </c>
      <c r="AA69" s="26" cm="1">
        <f t="array" ref="AA69">IFERROR(SUMPRODUCT((Table1[Region]=AA$65)*(Table1[Group]=$A69)*(Table1[Avg_DCCH_50percDH])*(Table1[SumHD_TJ]/((AA55+AA62)*1000))),0)</f>
        <v>24.327645502645503</v>
      </c>
      <c r="AB69" s="26" cm="1">
        <f t="array" ref="AB69">IFERROR(SUMPRODUCT((Table1[Region]=AB$65)*(Table1[Group]=$A69)*(Table1[Avg_DCCH_50percDH])*(Table1[SumHD_TJ]/((AB55+AB62)*1000))),0)</f>
        <v>25.459958333333333</v>
      </c>
      <c r="AC69" s="26" cm="1">
        <f t="array" ref="AC69">IFERROR(SUMPRODUCT((Table1[Region]=AC$65)*(Table1[Group]=$A69)*(Table1[Avg_DCCH_50percDH])*(Table1[SumHD_TJ]/((AC55+AC62)*1000))),0)</f>
        <v>24.657822237713486</v>
      </c>
      <c r="AD69" s="26" cm="1">
        <f t="array" ref="AD69">IFERROR(SUMPRODUCT((Table1[Region]=AD$65)*(Table1[Group]=$A69)*(Table1[Avg_DCCH_50percDH])*(Table1[SumHD_TJ]/((AD55+AD62)*1000))),0)</f>
        <v>24.36102672664726</v>
      </c>
      <c r="AE69" s="26">
        <f t="shared" si="21"/>
        <v>12.179460331230288</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3.0407110950827896</v>
      </c>
      <c r="E73" s="26">
        <f t="shared" ref="E73:AD76" si="22">E66</f>
        <v>0</v>
      </c>
      <c r="F73" s="26">
        <f t="shared" si="22"/>
        <v>6.26</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5.88</v>
      </c>
      <c r="S73" s="26">
        <f t="shared" si="22"/>
        <v>0</v>
      </c>
      <c r="T73" s="26">
        <f t="shared" si="22"/>
        <v>6.46</v>
      </c>
      <c r="U73" s="26">
        <f t="shared" si="22"/>
        <v>0</v>
      </c>
      <c r="V73" s="26">
        <f t="shared" si="22"/>
        <v>4.9000000000000004</v>
      </c>
      <c r="W73" s="26">
        <f t="shared" si="22"/>
        <v>5.28</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470</v>
      </c>
      <c r="D74" s="26">
        <f t="shared" ref="D74:S76" si="23">D67</f>
        <v>3.2309610776202544</v>
      </c>
      <c r="E74" s="26">
        <f t="shared" si="23"/>
        <v>0</v>
      </c>
      <c r="F74" s="26">
        <f t="shared" si="23"/>
        <v>8.7235264594805262</v>
      </c>
      <c r="G74" s="26">
        <f t="shared" si="23"/>
        <v>4.9007416287660241</v>
      </c>
      <c r="H74" s="26">
        <f t="shared" si="23"/>
        <v>5.089104737469075</v>
      </c>
      <c r="I74" s="26">
        <f t="shared" si="23"/>
        <v>5.1502463385741972</v>
      </c>
      <c r="J74" s="26">
        <f t="shared" si="23"/>
        <v>6.7451621277311737</v>
      </c>
      <c r="K74" s="26">
        <f t="shared" si="23"/>
        <v>5.5121554840306999</v>
      </c>
      <c r="L74" s="26">
        <f t="shared" si="23"/>
        <v>5.3818968016128146</v>
      </c>
      <c r="M74" s="26">
        <f t="shared" si="23"/>
        <v>5.7981914289576855</v>
      </c>
      <c r="N74" s="26">
        <f t="shared" si="23"/>
        <v>5.6133752744970025</v>
      </c>
      <c r="O74" s="26">
        <f t="shared" si="23"/>
        <v>6.5400987865588043</v>
      </c>
      <c r="P74" s="26">
        <f t="shared" si="23"/>
        <v>6.6970138275463764</v>
      </c>
      <c r="Q74" s="26">
        <f t="shared" si="23"/>
        <v>8.7548782003479957</v>
      </c>
      <c r="R74" s="26">
        <f t="shared" si="23"/>
        <v>6.4552127056830866</v>
      </c>
      <c r="S74" s="26">
        <f t="shared" si="23"/>
        <v>0</v>
      </c>
      <c r="T74" s="26">
        <f t="shared" si="22"/>
        <v>2.5001765258215962</v>
      </c>
      <c r="U74" s="26">
        <f t="shared" si="22"/>
        <v>8.5880914769500798</v>
      </c>
      <c r="V74" s="26">
        <f t="shared" si="22"/>
        <v>6.0148341531088416</v>
      </c>
      <c r="W74" s="26">
        <f t="shared" si="22"/>
        <v>7.2207758997068545</v>
      </c>
      <c r="X74" s="26">
        <f t="shared" si="22"/>
        <v>7.2</v>
      </c>
      <c r="Y74" s="26">
        <f t="shared" si="22"/>
        <v>5.9181006385696033</v>
      </c>
      <c r="Z74" s="26">
        <f t="shared" si="22"/>
        <v>7.5513993806138302</v>
      </c>
      <c r="AA74" s="26">
        <f t="shared" si="22"/>
        <v>5.8354224210594561</v>
      </c>
      <c r="AB74" s="26">
        <f t="shared" si="22"/>
        <v>4.9766515196223073</v>
      </c>
      <c r="AC74" s="26">
        <f t="shared" si="22"/>
        <v>6.5702951141918646</v>
      </c>
      <c r="AD74" s="26">
        <f t="shared" si="22"/>
        <v>7.2117341761623566</v>
      </c>
      <c r="AE74" s="26">
        <f t="shared" ref="AE74:AE76" si="24">D74</f>
        <v>3.2309610776202544</v>
      </c>
    </row>
    <row r="75" spans="1:31">
      <c r="A75">
        <v>2</v>
      </c>
      <c r="C75" s="25" t="s">
        <v>471</v>
      </c>
      <c r="D75" s="26">
        <f t="shared" si="23"/>
        <v>5.6752616266640743</v>
      </c>
      <c r="E75" s="26">
        <f t="shared" si="22"/>
        <v>8.1586941482722963</v>
      </c>
      <c r="F75" s="26">
        <f t="shared" si="22"/>
        <v>13.318701627440204</v>
      </c>
      <c r="G75" s="26">
        <f t="shared" si="22"/>
        <v>11.914371802009596</v>
      </c>
      <c r="H75" s="26">
        <f t="shared" si="22"/>
        <v>17.835438230383975</v>
      </c>
      <c r="I75" s="26">
        <f t="shared" si="22"/>
        <v>10.424978375780874</v>
      </c>
      <c r="J75" s="26">
        <f t="shared" si="22"/>
        <v>14.584527035425729</v>
      </c>
      <c r="K75" s="26">
        <f t="shared" si="22"/>
        <v>11.279172673143218</v>
      </c>
      <c r="L75" s="26">
        <f t="shared" si="22"/>
        <v>10.632142352636773</v>
      </c>
      <c r="M75" s="26">
        <f t="shared" si="22"/>
        <v>11.451398779491614</v>
      </c>
      <c r="N75" s="26">
        <f t="shared" si="22"/>
        <v>0</v>
      </c>
      <c r="O75" s="26">
        <f t="shared" si="22"/>
        <v>14.040398950536307</v>
      </c>
      <c r="P75" s="26">
        <f t="shared" si="22"/>
        <v>11.748643842371894</v>
      </c>
      <c r="Q75" s="26">
        <f t="shared" si="22"/>
        <v>15.837424885418436</v>
      </c>
      <c r="R75" s="26">
        <f t="shared" si="22"/>
        <v>11.580844595200919</v>
      </c>
      <c r="S75" s="26">
        <f t="shared" si="22"/>
        <v>7.4508737885633725</v>
      </c>
      <c r="T75" s="26">
        <f t="shared" si="22"/>
        <v>11.393539873780835</v>
      </c>
      <c r="U75" s="26">
        <f t="shared" si="22"/>
        <v>12.005891326511348</v>
      </c>
      <c r="V75" s="26">
        <f t="shared" si="22"/>
        <v>14.646871735345329</v>
      </c>
      <c r="W75" s="26">
        <f t="shared" si="22"/>
        <v>11.387012962644443</v>
      </c>
      <c r="X75" s="26">
        <f t="shared" si="22"/>
        <v>13.99942376338603</v>
      </c>
      <c r="Y75" s="26">
        <f t="shared" si="22"/>
        <v>11.167215583366977</v>
      </c>
      <c r="Z75" s="26">
        <f t="shared" si="22"/>
        <v>12.369703777335985</v>
      </c>
      <c r="AA75" s="26">
        <f t="shared" si="22"/>
        <v>11.841730183554205</v>
      </c>
      <c r="AB75" s="26">
        <f t="shared" si="22"/>
        <v>12.525251249175074</v>
      </c>
      <c r="AC75" s="26">
        <f t="shared" si="22"/>
        <v>13.006683883463804</v>
      </c>
      <c r="AD75" s="26">
        <f t="shared" si="22"/>
        <v>10.065850685627222</v>
      </c>
      <c r="AE75" s="26">
        <f t="shared" si="24"/>
        <v>5.6752616266640743</v>
      </c>
    </row>
    <row r="76" spans="1:31">
      <c r="A76">
        <v>3</v>
      </c>
      <c r="C76" s="25" t="s">
        <v>472</v>
      </c>
      <c r="D76" s="26">
        <f t="shared" si="23"/>
        <v>12.179460331230288</v>
      </c>
      <c r="E76" s="26">
        <f t="shared" si="22"/>
        <v>21.274485341598869</v>
      </c>
      <c r="F76" s="26">
        <f t="shared" si="22"/>
        <v>41</v>
      </c>
      <c r="G76" s="26">
        <f t="shared" si="22"/>
        <v>27.59183412135539</v>
      </c>
      <c r="H76" s="26">
        <f t="shared" si="22"/>
        <v>24.861981981981984</v>
      </c>
      <c r="I76" s="26">
        <f t="shared" si="22"/>
        <v>24.14863067074868</v>
      </c>
      <c r="J76" s="26">
        <f t="shared" si="22"/>
        <v>30.676240725474038</v>
      </c>
      <c r="K76" s="26">
        <f t="shared" si="22"/>
        <v>25.884104865857395</v>
      </c>
      <c r="L76" s="26">
        <f t="shared" si="22"/>
        <v>28.290093348891482</v>
      </c>
      <c r="M76" s="26">
        <f t="shared" si="22"/>
        <v>23.339289739221595</v>
      </c>
      <c r="N76" s="26">
        <f t="shared" si="22"/>
        <v>23.565803623611924</v>
      </c>
      <c r="O76" s="26">
        <f t="shared" si="22"/>
        <v>23.499685317492176</v>
      </c>
      <c r="P76" s="26">
        <f t="shared" si="22"/>
        <v>28.591202239328201</v>
      </c>
      <c r="Q76" s="26">
        <f t="shared" si="22"/>
        <v>26.439906687402804</v>
      </c>
      <c r="R76" s="26">
        <f t="shared" si="22"/>
        <v>19.880557446351162</v>
      </c>
      <c r="S76" s="26">
        <f t="shared" si="22"/>
        <v>23.064913903594316</v>
      </c>
      <c r="T76" s="26">
        <f t="shared" si="22"/>
        <v>24.018161784960064</v>
      </c>
      <c r="U76" s="26">
        <f t="shared" si="22"/>
        <v>24.814990933816862</v>
      </c>
      <c r="V76" s="26">
        <f t="shared" si="22"/>
        <v>23.348096912856583</v>
      </c>
      <c r="W76" s="26">
        <f t="shared" si="22"/>
        <v>24.344523750922967</v>
      </c>
      <c r="X76" s="26">
        <f t="shared" si="22"/>
        <v>21.401094084105491</v>
      </c>
      <c r="Y76" s="26">
        <f t="shared" si="22"/>
        <v>27.989777263523294</v>
      </c>
      <c r="Z76" s="26">
        <f t="shared" si="22"/>
        <v>22.916201214223765</v>
      </c>
      <c r="AA76" s="26">
        <f t="shared" si="22"/>
        <v>24.327645502645503</v>
      </c>
      <c r="AB76" s="26">
        <f t="shared" si="22"/>
        <v>25.459958333333333</v>
      </c>
      <c r="AC76" s="26">
        <f t="shared" si="22"/>
        <v>24.657822237713486</v>
      </c>
      <c r="AD76" s="26">
        <f t="shared" si="22"/>
        <v>24.36102672664726</v>
      </c>
      <c r="AE76" s="26">
        <f t="shared" si="24"/>
        <v>12.179460331230288</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9.1221332852483683E-2</v>
      </c>
      <c r="E80" s="26"/>
      <c r="F80" s="26">
        <f>F66*$A$5</f>
        <v>0.18779999999999999</v>
      </c>
      <c r="G80" s="26"/>
      <c r="H80" s="26"/>
      <c r="I80" s="26"/>
      <c r="J80" s="26"/>
      <c r="K80" s="26"/>
      <c r="L80" s="26"/>
      <c r="M80" s="26"/>
      <c r="N80" s="26"/>
      <c r="O80" s="26"/>
      <c r="P80" s="26"/>
      <c r="Q80" s="26"/>
      <c r="R80" s="26">
        <f>R66*$A$5</f>
        <v>0.1764</v>
      </c>
      <c r="S80" s="26"/>
      <c r="T80" s="26">
        <f>T66*$A$5</f>
        <v>0.1938</v>
      </c>
      <c r="U80" s="26"/>
      <c r="V80" s="26">
        <f t="shared" ref="V80:W83" si="25">V66*$A$5</f>
        <v>0.14699999999999999</v>
      </c>
      <c r="W80" s="26">
        <f t="shared" si="25"/>
        <v>0.15840000000000001</v>
      </c>
      <c r="X80" s="26"/>
      <c r="Y80" s="26"/>
      <c r="Z80" s="26"/>
      <c r="AA80" s="26"/>
      <c r="AB80" s="26"/>
      <c r="AC80" s="26"/>
      <c r="AD80" s="26"/>
      <c r="AE80" s="26">
        <f>D80</f>
        <v>9.1221332852483683E-2</v>
      </c>
    </row>
    <row r="81" spans="1:31">
      <c r="A81">
        <v>1</v>
      </c>
      <c r="C81" s="25" t="s">
        <v>466</v>
      </c>
      <c r="D81" s="26">
        <f>D67*$A$5</f>
        <v>9.6928832328607634E-2</v>
      </c>
      <c r="E81" s="26"/>
      <c r="F81" s="26">
        <f>F67*$A$5</f>
        <v>0.26170579378441577</v>
      </c>
      <c r="G81" s="26">
        <f t="shared" ref="G81:Q81" si="26">G67*$A$5</f>
        <v>0.14702224886298071</v>
      </c>
      <c r="H81" s="26">
        <f t="shared" si="26"/>
        <v>0.15267314212407224</v>
      </c>
      <c r="I81" s="26">
        <f t="shared" si="26"/>
        <v>0.15450739015722592</v>
      </c>
      <c r="J81" s="26">
        <f t="shared" si="26"/>
        <v>0.20235486383193521</v>
      </c>
      <c r="K81" s="26">
        <f t="shared" si="26"/>
        <v>0.165364664520921</v>
      </c>
      <c r="L81" s="26">
        <f t="shared" si="26"/>
        <v>0.16145690404838442</v>
      </c>
      <c r="M81" s="26">
        <f t="shared" si="26"/>
        <v>0.17394574286873055</v>
      </c>
      <c r="N81" s="26">
        <f t="shared" si="26"/>
        <v>0.16840125823491006</v>
      </c>
      <c r="O81" s="26">
        <f t="shared" si="26"/>
        <v>0.19620296359676412</v>
      </c>
      <c r="P81" s="26">
        <f t="shared" si="26"/>
        <v>0.2009104148263913</v>
      </c>
      <c r="Q81" s="26">
        <f t="shared" si="26"/>
        <v>0.26264634601043985</v>
      </c>
      <c r="R81" s="26">
        <f>R67*$A$5</f>
        <v>0.19365638117049258</v>
      </c>
      <c r="S81" s="26"/>
      <c r="T81" s="26">
        <f>T67*$A$5</f>
        <v>7.5005295774647887E-2</v>
      </c>
      <c r="U81" s="26">
        <f>U67*$A$5</f>
        <v>0.25764274430850237</v>
      </c>
      <c r="V81" s="26">
        <f t="shared" si="25"/>
        <v>0.18044502459326525</v>
      </c>
      <c r="W81" s="26">
        <f t="shared" si="25"/>
        <v>0.21662327699120562</v>
      </c>
      <c r="X81" s="26">
        <f t="shared" ref="X81:AD83" si="27">X67*$A$5</f>
        <v>0.216</v>
      </c>
      <c r="Y81" s="26">
        <f t="shared" si="27"/>
        <v>0.17754301915708809</v>
      </c>
      <c r="Z81" s="26">
        <f t="shared" si="27"/>
        <v>0.22654198141841489</v>
      </c>
      <c r="AA81" s="26">
        <f t="shared" si="27"/>
        <v>0.17506267263178368</v>
      </c>
      <c r="AB81" s="26">
        <f t="shared" si="27"/>
        <v>0.1492995455886692</v>
      </c>
      <c r="AC81" s="26">
        <f t="shared" si="27"/>
        <v>0.19710885342575593</v>
      </c>
      <c r="AD81" s="26">
        <f t="shared" si="27"/>
        <v>0.21635202528487069</v>
      </c>
      <c r="AE81" s="26">
        <f t="shared" ref="AE81:AE83" si="28">D81</f>
        <v>9.6928832328607634E-2</v>
      </c>
    </row>
    <row r="82" spans="1:31">
      <c r="A82">
        <v>2</v>
      </c>
      <c r="C82" s="25" t="s">
        <v>467</v>
      </c>
      <c r="D82" s="26">
        <f>D68*$A$5</f>
        <v>0.17025784879992223</v>
      </c>
      <c r="E82" s="26">
        <f>E68*$A$5</f>
        <v>0.24476082444816888</v>
      </c>
      <c r="F82" s="26">
        <f>F68*$A$5</f>
        <v>0.39956104882320609</v>
      </c>
      <c r="G82" s="26">
        <f t="shared" ref="G82:M83" si="29">G68*$A$5</f>
        <v>0.35743115406028786</v>
      </c>
      <c r="H82" s="26">
        <f t="shared" si="29"/>
        <v>0.53506314691151924</v>
      </c>
      <c r="I82" s="26">
        <f t="shared" si="29"/>
        <v>0.31274935127342623</v>
      </c>
      <c r="J82" s="26">
        <f t="shared" si="29"/>
        <v>0.4375358110627719</v>
      </c>
      <c r="K82" s="26">
        <f t="shared" si="29"/>
        <v>0.33837518019429652</v>
      </c>
      <c r="L82" s="26">
        <f t="shared" si="29"/>
        <v>0.3189642705791032</v>
      </c>
      <c r="M82" s="26">
        <f t="shared" si="29"/>
        <v>0.34354196338474841</v>
      </c>
      <c r="N82" s="26"/>
      <c r="O82" s="26">
        <f t="shared" ref="O82:Q83" si="30">O68*$A$5</f>
        <v>0.42121196851608922</v>
      </c>
      <c r="P82" s="26">
        <f t="shared" si="30"/>
        <v>0.35245931527115681</v>
      </c>
      <c r="Q82" s="26">
        <f t="shared" si="30"/>
        <v>0.47512274656255304</v>
      </c>
      <c r="R82" s="26">
        <f>R68*$A$5</f>
        <v>0.34742533785602753</v>
      </c>
      <c r="S82" s="26">
        <f>S68*$A$5</f>
        <v>0.22352621365690117</v>
      </c>
      <c r="T82" s="26">
        <f>T68*$A$5</f>
        <v>0.34180619621342501</v>
      </c>
      <c r="U82" s="26">
        <f>U68*$A$5</f>
        <v>0.36017673979534043</v>
      </c>
      <c r="V82" s="26">
        <f t="shared" si="25"/>
        <v>0.43940615206035982</v>
      </c>
      <c r="W82" s="26">
        <f t="shared" si="25"/>
        <v>0.34161038887933326</v>
      </c>
      <c r="X82" s="26">
        <f t="shared" si="27"/>
        <v>0.4199827129015809</v>
      </c>
      <c r="Y82" s="26">
        <f t="shared" si="27"/>
        <v>0.33501646750100927</v>
      </c>
      <c r="Z82" s="26">
        <f t="shared" si="27"/>
        <v>0.37109111332007955</v>
      </c>
      <c r="AA82" s="26">
        <f t="shared" si="27"/>
        <v>0.35525190550662611</v>
      </c>
      <c r="AB82" s="26">
        <f t="shared" si="27"/>
        <v>0.3757575374752522</v>
      </c>
      <c r="AC82" s="26">
        <f t="shared" si="27"/>
        <v>0.39020051650391413</v>
      </c>
      <c r="AD82" s="26">
        <f t="shared" si="27"/>
        <v>0.30197552056881666</v>
      </c>
      <c r="AE82" s="26">
        <f t="shared" si="28"/>
        <v>0.17025784879992223</v>
      </c>
    </row>
    <row r="83" spans="1:31">
      <c r="A83">
        <v>3</v>
      </c>
      <c r="C83" s="25" t="s">
        <v>468</v>
      </c>
      <c r="D83" s="26">
        <f>D69*$A$5</f>
        <v>0.36538380993690861</v>
      </c>
      <c r="E83" s="26">
        <f>E69*$A$5</f>
        <v>0.63823456024796599</v>
      </c>
      <c r="F83" s="26">
        <f>F69*$A$5</f>
        <v>1.23</v>
      </c>
      <c r="G83" s="26">
        <f t="shared" si="29"/>
        <v>0.82775502364066167</v>
      </c>
      <c r="H83" s="26">
        <f t="shared" si="29"/>
        <v>0.74585945945945953</v>
      </c>
      <c r="I83" s="26">
        <f t="shared" si="29"/>
        <v>0.72445892012246038</v>
      </c>
      <c r="J83" s="26">
        <f t="shared" si="29"/>
        <v>0.92028722176422106</v>
      </c>
      <c r="K83" s="26">
        <f t="shared" si="29"/>
        <v>0.77652314597572181</v>
      </c>
      <c r="L83" s="26">
        <f t="shared" si="29"/>
        <v>0.8487028004667444</v>
      </c>
      <c r="M83" s="26">
        <f t="shared" si="29"/>
        <v>0.70017869217664785</v>
      </c>
      <c r="N83" s="26">
        <f>N69*$A$5</f>
        <v>0.70697410870835764</v>
      </c>
      <c r="O83" s="26">
        <f t="shared" si="30"/>
        <v>0.7049905595247653</v>
      </c>
      <c r="P83" s="26">
        <f t="shared" si="30"/>
        <v>0.85773606717984596</v>
      </c>
      <c r="Q83" s="26">
        <f t="shared" si="30"/>
        <v>0.7931972006220841</v>
      </c>
      <c r="R83" s="26">
        <f>R69*$A$5</f>
        <v>0.59641672339053486</v>
      </c>
      <c r="S83" s="26">
        <f>S69*$A$5</f>
        <v>0.69194741710782948</v>
      </c>
      <c r="T83" s="26">
        <f>T69*$A$5</f>
        <v>0.72054485354880193</v>
      </c>
      <c r="U83" s="26">
        <f>U69*$A$5</f>
        <v>0.74444972801450582</v>
      </c>
      <c r="V83" s="26">
        <f t="shared" si="25"/>
        <v>0.70044290738569748</v>
      </c>
      <c r="W83" s="26">
        <f t="shared" si="25"/>
        <v>0.73033571252768903</v>
      </c>
      <c r="X83" s="26">
        <f t="shared" si="27"/>
        <v>0.64203282252316474</v>
      </c>
      <c r="Y83" s="26">
        <f t="shared" si="27"/>
        <v>0.83969331790569879</v>
      </c>
      <c r="Z83" s="26">
        <f t="shared" si="27"/>
        <v>0.68748603642671291</v>
      </c>
      <c r="AA83" s="26">
        <f t="shared" si="27"/>
        <v>0.72982936507936502</v>
      </c>
      <c r="AB83" s="26">
        <f t="shared" si="27"/>
        <v>0.76379874999999997</v>
      </c>
      <c r="AC83" s="26">
        <f t="shared" si="27"/>
        <v>0.73973466713140457</v>
      </c>
      <c r="AD83" s="26">
        <f t="shared" si="27"/>
        <v>0.73083080179941784</v>
      </c>
      <c r="AE83" s="26">
        <f t="shared" si="28"/>
        <v>0.36538380993690861</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9.1221332852483683E-2</v>
      </c>
      <c r="E87" s="26"/>
      <c r="F87" s="26">
        <f>F73*$A$5</f>
        <v>0.18779999999999999</v>
      </c>
      <c r="G87" s="26"/>
      <c r="H87" s="26"/>
      <c r="I87" s="26"/>
      <c r="J87" s="26"/>
      <c r="K87" s="26"/>
      <c r="L87" s="26"/>
      <c r="M87" s="26"/>
      <c r="N87" s="26"/>
      <c r="O87" s="26"/>
      <c r="P87" s="26"/>
      <c r="Q87" s="26"/>
      <c r="R87" s="26">
        <f>R73*$A$5</f>
        <v>0.1764</v>
      </c>
      <c r="S87" s="26"/>
      <c r="T87" s="26">
        <f>T73*$A$5</f>
        <v>0.1938</v>
      </c>
      <c r="U87" s="26"/>
      <c r="V87" s="26">
        <f t="shared" ref="V87:W90" si="31">V73*$A$5</f>
        <v>0.14699999999999999</v>
      </c>
      <c r="W87" s="26">
        <f t="shared" si="31"/>
        <v>0.15840000000000001</v>
      </c>
      <c r="X87" s="26"/>
      <c r="Y87" s="26"/>
      <c r="Z87" s="26"/>
      <c r="AA87" s="26"/>
      <c r="AB87" s="26"/>
      <c r="AC87" s="26"/>
      <c r="AD87" s="26"/>
      <c r="AE87" s="26">
        <f>D87</f>
        <v>9.1221332852483683E-2</v>
      </c>
    </row>
    <row r="88" spans="1:31">
      <c r="A88">
        <v>1</v>
      </c>
      <c r="C88" s="25" t="s">
        <v>470</v>
      </c>
      <c r="D88" s="26">
        <f>D74*$A$5</f>
        <v>9.6928832328607634E-2</v>
      </c>
      <c r="E88" s="26"/>
      <c r="F88" s="26">
        <f>F74*$A$5</f>
        <v>0.26170579378441577</v>
      </c>
      <c r="G88" s="26">
        <f t="shared" ref="G88:Q88" si="32">G74*$A$5</f>
        <v>0.14702224886298071</v>
      </c>
      <c r="H88" s="26">
        <f t="shared" si="32"/>
        <v>0.15267314212407224</v>
      </c>
      <c r="I88" s="26">
        <f t="shared" si="32"/>
        <v>0.15450739015722592</v>
      </c>
      <c r="J88" s="26">
        <f t="shared" si="32"/>
        <v>0.20235486383193521</v>
      </c>
      <c r="K88" s="26">
        <f t="shared" si="32"/>
        <v>0.165364664520921</v>
      </c>
      <c r="L88" s="26">
        <f t="shared" si="32"/>
        <v>0.16145690404838442</v>
      </c>
      <c r="M88" s="26">
        <f t="shared" si="32"/>
        <v>0.17394574286873055</v>
      </c>
      <c r="N88" s="26">
        <f t="shared" si="32"/>
        <v>0.16840125823491006</v>
      </c>
      <c r="O88" s="26">
        <f t="shared" si="32"/>
        <v>0.19620296359676412</v>
      </c>
      <c r="P88" s="26">
        <f t="shared" si="32"/>
        <v>0.2009104148263913</v>
      </c>
      <c r="Q88" s="26">
        <f t="shared" si="32"/>
        <v>0.26264634601043985</v>
      </c>
      <c r="R88" s="26">
        <f>R74*$A$5</f>
        <v>0.19365638117049258</v>
      </c>
      <c r="S88" s="26"/>
      <c r="T88" s="26">
        <f>T74*$A$5</f>
        <v>7.5005295774647887E-2</v>
      </c>
      <c r="U88" s="26">
        <f>U74*$A$5</f>
        <v>0.25764274430850237</v>
      </c>
      <c r="V88" s="26">
        <f t="shared" si="31"/>
        <v>0.18044502459326525</v>
      </c>
      <c r="W88" s="26">
        <f t="shared" si="31"/>
        <v>0.21662327699120562</v>
      </c>
      <c r="X88" s="26">
        <f t="shared" ref="X88:AD90" si="33">X74*$A$5</f>
        <v>0.216</v>
      </c>
      <c r="Y88" s="26">
        <f t="shared" si="33"/>
        <v>0.17754301915708809</v>
      </c>
      <c r="Z88" s="26">
        <f t="shared" si="33"/>
        <v>0.22654198141841489</v>
      </c>
      <c r="AA88" s="26">
        <f t="shared" si="33"/>
        <v>0.17506267263178368</v>
      </c>
      <c r="AB88" s="26">
        <f t="shared" si="33"/>
        <v>0.1492995455886692</v>
      </c>
      <c r="AC88" s="26">
        <f t="shared" si="33"/>
        <v>0.19710885342575593</v>
      </c>
      <c r="AD88" s="26">
        <f t="shared" si="33"/>
        <v>0.21635202528487069</v>
      </c>
      <c r="AE88" s="26">
        <f t="shared" ref="AE88:AE90" si="34">D88</f>
        <v>9.6928832328607634E-2</v>
      </c>
    </row>
    <row r="89" spans="1:31">
      <c r="A89">
        <v>2</v>
      </c>
      <c r="C89" s="25" t="s">
        <v>471</v>
      </c>
      <c r="D89" s="26">
        <f>D75*$A$5</f>
        <v>0.17025784879992223</v>
      </c>
      <c r="E89" s="26">
        <f>E75*$A$5</f>
        <v>0.24476082444816888</v>
      </c>
      <c r="F89" s="26">
        <f>F75*$A$5</f>
        <v>0.39956104882320609</v>
      </c>
      <c r="G89" s="26">
        <f t="shared" ref="G89:M90" si="35">G75*$A$5</f>
        <v>0.35743115406028786</v>
      </c>
      <c r="H89" s="26">
        <f t="shared" si="35"/>
        <v>0.53506314691151924</v>
      </c>
      <c r="I89" s="26">
        <f t="shared" si="35"/>
        <v>0.31274935127342623</v>
      </c>
      <c r="J89" s="26">
        <f t="shared" si="35"/>
        <v>0.4375358110627719</v>
      </c>
      <c r="K89" s="26">
        <f t="shared" si="35"/>
        <v>0.33837518019429652</v>
      </c>
      <c r="L89" s="26">
        <f t="shared" si="35"/>
        <v>0.3189642705791032</v>
      </c>
      <c r="M89" s="26">
        <f t="shared" si="35"/>
        <v>0.34354196338474841</v>
      </c>
      <c r="N89" s="26"/>
      <c r="O89" s="26">
        <f t="shared" ref="O89:Q90" si="36">O75*$A$5</f>
        <v>0.42121196851608922</v>
      </c>
      <c r="P89" s="26">
        <f t="shared" si="36"/>
        <v>0.35245931527115681</v>
      </c>
      <c r="Q89" s="26">
        <f t="shared" si="36"/>
        <v>0.47512274656255304</v>
      </c>
      <c r="R89" s="26">
        <f>R75*$A$5</f>
        <v>0.34742533785602753</v>
      </c>
      <c r="S89" s="26">
        <f>S75*$A$5</f>
        <v>0.22352621365690117</v>
      </c>
      <c r="T89" s="26">
        <f>T75*$A$5</f>
        <v>0.34180619621342501</v>
      </c>
      <c r="U89" s="26">
        <f>U75*$A$5</f>
        <v>0.36017673979534043</v>
      </c>
      <c r="V89" s="26">
        <f t="shared" si="31"/>
        <v>0.43940615206035982</v>
      </c>
      <c r="W89" s="26">
        <f t="shared" si="31"/>
        <v>0.34161038887933326</v>
      </c>
      <c r="X89" s="26">
        <f t="shared" si="33"/>
        <v>0.4199827129015809</v>
      </c>
      <c r="Y89" s="26">
        <f t="shared" si="33"/>
        <v>0.33501646750100927</v>
      </c>
      <c r="Z89" s="26">
        <f t="shared" si="33"/>
        <v>0.37109111332007955</v>
      </c>
      <c r="AA89" s="26">
        <f t="shared" si="33"/>
        <v>0.35525190550662611</v>
      </c>
      <c r="AB89" s="26">
        <f t="shared" si="33"/>
        <v>0.3757575374752522</v>
      </c>
      <c r="AC89" s="26">
        <f t="shared" si="33"/>
        <v>0.39020051650391413</v>
      </c>
      <c r="AD89" s="26">
        <f t="shared" si="33"/>
        <v>0.30197552056881666</v>
      </c>
      <c r="AE89" s="26">
        <f t="shared" si="34"/>
        <v>0.17025784879992223</v>
      </c>
    </row>
    <row r="90" spans="1:31">
      <c r="A90">
        <v>3</v>
      </c>
      <c r="C90" s="25" t="s">
        <v>472</v>
      </c>
      <c r="D90" s="26">
        <f>D76*$A$5</f>
        <v>0.36538380993690861</v>
      </c>
      <c r="E90" s="26">
        <f>E76*$A$5</f>
        <v>0.63823456024796599</v>
      </c>
      <c r="F90" s="26">
        <f>F76*$A$5</f>
        <v>1.23</v>
      </c>
      <c r="G90" s="26">
        <f t="shared" si="35"/>
        <v>0.82775502364066167</v>
      </c>
      <c r="H90" s="26">
        <f t="shared" si="35"/>
        <v>0.74585945945945953</v>
      </c>
      <c r="I90" s="26">
        <f t="shared" si="35"/>
        <v>0.72445892012246038</v>
      </c>
      <c r="J90" s="26">
        <f t="shared" si="35"/>
        <v>0.92028722176422106</v>
      </c>
      <c r="K90" s="26">
        <f t="shared" si="35"/>
        <v>0.77652314597572181</v>
      </c>
      <c r="L90" s="26">
        <f t="shared" si="35"/>
        <v>0.8487028004667444</v>
      </c>
      <c r="M90" s="26">
        <f t="shared" si="35"/>
        <v>0.70017869217664785</v>
      </c>
      <c r="N90" s="26">
        <f>N76*$A$5</f>
        <v>0.70697410870835764</v>
      </c>
      <c r="O90" s="26">
        <f t="shared" si="36"/>
        <v>0.7049905595247653</v>
      </c>
      <c r="P90" s="26">
        <f t="shared" si="36"/>
        <v>0.85773606717984596</v>
      </c>
      <c r="Q90" s="26">
        <f t="shared" si="36"/>
        <v>0.7931972006220841</v>
      </c>
      <c r="R90" s="26">
        <f>R76*$A$5</f>
        <v>0.59641672339053486</v>
      </c>
      <c r="S90" s="26">
        <f>S76*$A$5</f>
        <v>0.69194741710782948</v>
      </c>
      <c r="T90" s="26">
        <f>T76*$A$5</f>
        <v>0.72054485354880193</v>
      </c>
      <c r="U90" s="26">
        <f>U76*$A$5</f>
        <v>0.74444972801450582</v>
      </c>
      <c r="V90" s="26">
        <f t="shared" si="31"/>
        <v>0.70044290738569748</v>
      </c>
      <c r="W90" s="26">
        <f t="shared" si="31"/>
        <v>0.73033571252768903</v>
      </c>
      <c r="X90" s="26">
        <f t="shared" si="33"/>
        <v>0.64203282252316474</v>
      </c>
      <c r="Y90" s="26">
        <f t="shared" si="33"/>
        <v>0.83969331790569879</v>
      </c>
      <c r="Z90" s="26">
        <f t="shared" si="33"/>
        <v>0.68748603642671291</v>
      </c>
      <c r="AA90" s="26">
        <f t="shared" si="33"/>
        <v>0.72982936507936502</v>
      </c>
      <c r="AB90" s="26">
        <f t="shared" si="33"/>
        <v>0.76379874999999997</v>
      </c>
      <c r="AC90" s="26">
        <f t="shared" si="33"/>
        <v>0.73973466713140457</v>
      </c>
      <c r="AD90" s="26">
        <f t="shared" si="33"/>
        <v>0.73083080179941784</v>
      </c>
      <c r="AE90" s="26">
        <f t="shared" si="34"/>
        <v>0.36538380993690861</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26" t="s">
        <v>527</v>
      </c>
      <c r="D4" s="326"/>
      <c r="E4" s="326"/>
      <c r="F4" s="326"/>
      <c r="G4" s="326"/>
      <c r="H4" s="47" t="s">
        <v>530</v>
      </c>
      <c r="I4" s="47" t="s">
        <v>522</v>
      </c>
      <c r="J4" s="47" t="s">
        <v>523</v>
      </c>
      <c r="K4" s="324" t="s">
        <v>531</v>
      </c>
      <c r="L4" s="325"/>
      <c r="M4" s="325"/>
      <c r="N4" s="325"/>
      <c r="O4" s="325"/>
      <c r="P4" s="325"/>
      <c r="Q4" s="325"/>
      <c r="R4" s="325"/>
      <c r="S4" s="325"/>
      <c r="T4" s="325"/>
      <c r="U4" s="324" t="s">
        <v>528</v>
      </c>
      <c r="V4" s="325"/>
      <c r="W4" s="325"/>
      <c r="X4" s="325"/>
      <c r="Y4" s="325"/>
      <c r="Z4" s="325"/>
      <c r="AA4" s="325"/>
      <c r="AB4" s="325"/>
      <c r="AC4" s="325"/>
      <c r="AD4" s="325"/>
      <c r="AE4" s="325"/>
      <c r="AF4" s="325"/>
      <c r="AG4" s="325"/>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7" t="s">
        <v>896</v>
      </c>
      <c r="D1" s="327"/>
      <c r="E1" s="327"/>
      <c r="F1" s="327"/>
      <c r="G1" s="327"/>
      <c r="H1" s="327"/>
      <c r="I1" s="327"/>
      <c r="J1" s="327"/>
      <c r="K1" s="327"/>
      <c r="L1" s="327"/>
      <c r="M1" s="32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27" t="s">
        <v>938</v>
      </c>
      <c r="D1" s="327"/>
      <c r="E1" s="327"/>
      <c r="F1" s="327"/>
      <c r="G1" s="327"/>
      <c r="H1" s="327"/>
      <c r="I1" s="327"/>
      <c r="J1" s="327"/>
      <c r="K1" s="327"/>
      <c r="L1" s="327"/>
      <c r="M1" s="327"/>
      <c r="N1" s="327"/>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7" t="s">
        <v>744</v>
      </c>
      <c r="D1" s="327"/>
      <c r="E1" s="327"/>
      <c r="F1" s="327"/>
      <c r="G1" s="327"/>
      <c r="H1" s="327"/>
      <c r="I1" s="327"/>
      <c r="J1" s="327"/>
      <c r="K1" s="327"/>
      <c r="L1" s="32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7" t="s">
        <v>712</v>
      </c>
      <c r="D1" s="327"/>
      <c r="E1" s="327"/>
      <c r="F1" s="327"/>
      <c r="G1" s="327"/>
      <c r="H1" s="327"/>
      <c r="I1" s="327"/>
      <c r="J1" s="327"/>
      <c r="K1" s="327"/>
      <c r="L1" s="327"/>
      <c r="M1" s="32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7" t="s">
        <v>949</v>
      </c>
      <c r="D1" s="327"/>
      <c r="E1" s="327"/>
      <c r="F1" s="327"/>
      <c r="G1" s="327"/>
      <c r="H1" s="327"/>
      <c r="I1" s="327"/>
      <c r="J1" s="327"/>
      <c r="K1" s="327"/>
      <c r="L1" s="327"/>
      <c r="M1" s="32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27" t="s">
        <v>655</v>
      </c>
      <c r="D1" s="327"/>
      <c r="E1" s="327"/>
      <c r="F1" s="327"/>
      <c r="G1" s="327"/>
      <c r="H1" s="327"/>
      <c r="I1" s="327"/>
      <c r="J1" s="327"/>
      <c r="K1" s="327"/>
      <c r="L1" s="32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7" t="s">
        <v>716</v>
      </c>
      <c r="D1" s="327"/>
      <c r="E1" s="327"/>
      <c r="F1" s="327"/>
      <c r="G1" s="327"/>
      <c r="H1" s="327"/>
      <c r="I1" s="327"/>
      <c r="J1" s="327"/>
      <c r="K1" s="327"/>
      <c r="L1" s="327"/>
      <c r="M1" s="32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7" t="s">
        <v>952</v>
      </c>
      <c r="D1" s="327"/>
      <c r="E1" s="327"/>
      <c r="F1" s="327"/>
      <c r="G1" s="327"/>
      <c r="H1" s="327"/>
      <c r="I1" s="327"/>
      <c r="J1" s="327"/>
      <c r="K1" s="327"/>
      <c r="L1" s="327"/>
      <c r="M1" s="32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7" t="s">
        <v>940</v>
      </c>
      <c r="D1" s="327"/>
      <c r="E1" s="327"/>
      <c r="F1" s="327"/>
      <c r="G1" s="327"/>
      <c r="H1" s="327"/>
      <c r="I1" s="327"/>
      <c r="J1" s="327"/>
      <c r="K1" s="327"/>
      <c r="L1" s="327"/>
      <c r="M1" s="32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7" t="s">
        <v>929</v>
      </c>
      <c r="D1" s="327"/>
      <c r="E1" s="327"/>
      <c r="F1" s="327"/>
      <c r="G1" s="327"/>
      <c r="H1" s="327"/>
      <c r="I1" s="327"/>
      <c r="J1" s="327"/>
      <c r="K1" s="327"/>
      <c r="L1" s="32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7" t="s">
        <v>917</v>
      </c>
      <c r="D1" s="327"/>
      <c r="E1" s="327"/>
      <c r="F1" s="327"/>
      <c r="G1" s="327"/>
      <c r="H1" s="327"/>
      <c r="I1" s="327"/>
      <c r="J1" s="327"/>
      <c r="K1" s="327"/>
      <c r="L1" s="327"/>
      <c r="M1" s="32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7" t="s">
        <v>780</v>
      </c>
      <c r="D1" s="327"/>
      <c r="E1" s="327"/>
      <c r="F1" s="327"/>
      <c r="G1" s="327"/>
      <c r="H1" s="327"/>
      <c r="I1" s="327"/>
      <c r="J1" s="327"/>
      <c r="K1" s="327"/>
      <c r="L1" s="32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7" t="s">
        <v>845</v>
      </c>
      <c r="D1" s="327"/>
      <c r="E1" s="327"/>
      <c r="F1" s="327"/>
      <c r="G1" s="327"/>
      <c r="H1" s="327"/>
      <c r="I1" s="327"/>
      <c r="J1" s="327"/>
      <c r="K1" s="327"/>
      <c r="L1" s="32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7" t="s">
        <v>810</v>
      </c>
      <c r="D1" s="327"/>
      <c r="E1" s="327"/>
      <c r="F1" s="327"/>
      <c r="G1" s="327"/>
      <c r="H1" s="327"/>
      <c r="I1" s="327"/>
      <c r="J1" s="327"/>
      <c r="K1" s="327"/>
      <c r="L1" s="32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29" t="s">
        <v>1060</v>
      </c>
      <c r="B1" s="331" t="s">
        <v>1061</v>
      </c>
      <c r="C1" s="332"/>
      <c r="D1" s="332"/>
      <c r="E1" s="332"/>
      <c r="F1" s="333"/>
      <c r="G1" s="331" t="s">
        <v>1062</v>
      </c>
      <c r="H1" s="332"/>
      <c r="I1" s="332"/>
      <c r="J1" s="332"/>
      <c r="K1" s="333"/>
    </row>
    <row r="2" spans="1:14" ht="13.5" thickBot="1">
      <c r="A2" s="330"/>
      <c r="B2" s="153" t="s">
        <v>1063</v>
      </c>
      <c r="C2" s="154" t="s">
        <v>1064</v>
      </c>
      <c r="D2" s="154" t="s">
        <v>1065</v>
      </c>
      <c r="E2" s="154" t="s">
        <v>1066</v>
      </c>
      <c r="F2" s="155" t="s">
        <v>1067</v>
      </c>
      <c r="G2" s="153" t="s">
        <v>1063</v>
      </c>
      <c r="H2" s="154" t="s">
        <v>1064</v>
      </c>
      <c r="I2" s="154" t="s">
        <v>1065</v>
      </c>
      <c r="J2" s="154" t="s">
        <v>1066</v>
      </c>
      <c r="K2" s="155" t="s">
        <v>1067</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28" t="s">
        <v>1064</v>
      </c>
      <c r="B7" s="328"/>
      <c r="C7" s="328"/>
      <c r="D7" s="328"/>
    </row>
    <row r="8" spans="1:14" ht="15">
      <c r="A8" s="166" t="s">
        <v>558</v>
      </c>
      <c r="B8" s="166">
        <v>2015</v>
      </c>
      <c r="C8" s="166">
        <v>2020</v>
      </c>
      <c r="D8" s="166">
        <v>2030</v>
      </c>
    </row>
    <row r="9" spans="1:14">
      <c r="A9" t="s">
        <v>1068</v>
      </c>
      <c r="C9">
        <v>31.9</v>
      </c>
      <c r="D9">
        <v>36.299999999999997</v>
      </c>
    </row>
    <row r="10" spans="1:14">
      <c r="A10" t="s">
        <v>1069</v>
      </c>
      <c r="C10" s="22">
        <v>0.4</v>
      </c>
      <c r="D10" s="22">
        <v>0.7</v>
      </c>
    </row>
    <row r="11" spans="1:14">
      <c r="A11" t="s">
        <v>1070</v>
      </c>
      <c r="C11">
        <f>C9*(1-C10)</f>
        <v>19.139999999999997</v>
      </c>
      <c r="D11">
        <f>D9*(1-D10)</f>
        <v>10.89</v>
      </c>
    </row>
    <row r="12" spans="1:14">
      <c r="A12" t="s">
        <v>1071</v>
      </c>
      <c r="C12" s="22">
        <v>0.5</v>
      </c>
      <c r="D12" s="22">
        <f>C12</f>
        <v>0.5</v>
      </c>
    </row>
    <row r="13" spans="1:14">
      <c r="A13" t="s">
        <v>1072</v>
      </c>
      <c r="C13" s="22">
        <v>0.4</v>
      </c>
      <c r="D13" s="22">
        <f>C13</f>
        <v>0.4</v>
      </c>
    </row>
    <row r="14" spans="1:14">
      <c r="A14" t="s">
        <v>1073</v>
      </c>
      <c r="C14" s="165">
        <f>(C11/C12)*C13</f>
        <v>15.311999999999998</v>
      </c>
      <c r="D14" s="165">
        <f>(D11/D12)*D13</f>
        <v>8.7120000000000015</v>
      </c>
    </row>
    <row r="15" spans="1:14">
      <c r="A15" t="s">
        <v>1074</v>
      </c>
      <c r="C15">
        <f>C14*3600</f>
        <v>55123.19999999999</v>
      </c>
      <c r="D15">
        <f>D14*3600</f>
        <v>31363.200000000004</v>
      </c>
    </row>
    <row r="16" spans="1:14">
      <c r="A16" t="s">
        <v>1075</v>
      </c>
      <c r="B16" s="165">
        <f>C3</f>
        <v>94.888999999999996</v>
      </c>
      <c r="C16" s="165">
        <f>C15/1000</f>
        <v>55.12319999999999</v>
      </c>
      <c r="D16" s="167">
        <f>D15/1000</f>
        <v>31.363200000000003</v>
      </c>
    </row>
    <row r="17" spans="1:22">
      <c r="B17" s="165"/>
      <c r="C17" s="165"/>
      <c r="D17" s="165"/>
    </row>
    <row r="18" spans="1:22" ht="15">
      <c r="A18" s="328" t="s">
        <v>1076</v>
      </c>
      <c r="B18" s="328"/>
      <c r="C18" s="328"/>
      <c r="D18" s="328"/>
    </row>
    <row r="19" spans="1:22" ht="15">
      <c r="A19" s="166" t="s">
        <v>558</v>
      </c>
      <c r="B19" s="166"/>
      <c r="C19" s="166">
        <v>2020</v>
      </c>
      <c r="D19" s="166">
        <v>2030</v>
      </c>
    </row>
    <row r="20" spans="1:22">
      <c r="A20" t="s">
        <v>1077</v>
      </c>
      <c r="C20">
        <f>C9*C10</f>
        <v>12.76</v>
      </c>
      <c r="D20">
        <f>D9*D10</f>
        <v>25.409999999999997</v>
      </c>
    </row>
    <row r="21" spans="1:22" ht="15">
      <c r="A21" t="s">
        <v>1078</v>
      </c>
      <c r="C21" s="168">
        <v>0.127</v>
      </c>
      <c r="D21" s="169">
        <v>0.1</v>
      </c>
    </row>
    <row r="22" spans="1:22">
      <c r="A22" t="s">
        <v>1079</v>
      </c>
      <c r="C22" s="26">
        <f>C21*(C20/(1-C21))</f>
        <v>1.8562657502863689</v>
      </c>
      <c r="D22" s="26">
        <f>D21*(D20/(1-D21))</f>
        <v>2.8233333333333328</v>
      </c>
    </row>
    <row r="23" spans="1:22">
      <c r="A23" t="s">
        <v>1080</v>
      </c>
      <c r="C23" s="102">
        <v>3</v>
      </c>
      <c r="D23">
        <v>3</v>
      </c>
    </row>
    <row r="24" spans="1:22">
      <c r="A24" t="s">
        <v>1081</v>
      </c>
      <c r="C24" s="26">
        <f>C23*C22</f>
        <v>5.5687972508591068</v>
      </c>
      <c r="D24" s="26">
        <f>D23*D22</f>
        <v>8.4699999999999989</v>
      </c>
    </row>
    <row r="25" spans="1:22">
      <c r="A25" t="s">
        <v>1082</v>
      </c>
      <c r="C25" s="102">
        <f>C24*3600</f>
        <v>20047.670103092783</v>
      </c>
      <c r="D25" s="102">
        <f>D24*3600</f>
        <v>30491.999999999996</v>
      </c>
    </row>
    <row r="26" spans="1:22">
      <c r="A26" t="s">
        <v>1083</v>
      </c>
      <c r="C26" s="165">
        <f>C25/1000</f>
        <v>20.047670103092784</v>
      </c>
      <c r="D26" s="167">
        <f>D25/1000</f>
        <v>30.491999999999997</v>
      </c>
    </row>
    <row r="28" spans="1:22" ht="15">
      <c r="A28" s="328" t="s">
        <v>1084</v>
      </c>
      <c r="B28" s="328"/>
      <c r="C28" s="328"/>
      <c r="D28" s="328"/>
    </row>
    <row r="29" spans="1:22" ht="60">
      <c r="A29" s="166" t="s">
        <v>558</v>
      </c>
      <c r="B29" s="166">
        <v>2015</v>
      </c>
      <c r="C29" s="166">
        <v>2020</v>
      </c>
      <c r="D29" s="166">
        <v>2030</v>
      </c>
      <c r="G29" s="170"/>
      <c r="H29" s="171"/>
      <c r="I29" s="172" t="s">
        <v>1085</v>
      </c>
      <c r="J29" s="172" t="s">
        <v>1086</v>
      </c>
      <c r="K29" s="172" t="s">
        <v>1087</v>
      </c>
      <c r="L29" s="172" t="s">
        <v>1088</v>
      </c>
      <c r="S29" t="s">
        <v>1089</v>
      </c>
    </row>
    <row r="30" spans="1:22" ht="15">
      <c r="A30" t="s">
        <v>1090</v>
      </c>
      <c r="B30">
        <v>18</v>
      </c>
      <c r="C30">
        <f>B30+60</f>
        <v>78</v>
      </c>
      <c r="D30">
        <f>C30+18.5</f>
        <v>96.5</v>
      </c>
      <c r="G30" s="170"/>
      <c r="H30" s="170" t="s">
        <v>1091</v>
      </c>
      <c r="I30" s="170" t="s">
        <v>1092</v>
      </c>
      <c r="J30" s="170" t="s">
        <v>1093</v>
      </c>
      <c r="K30" s="170" t="s">
        <v>1094</v>
      </c>
      <c r="L30" s="170" t="s">
        <v>1095</v>
      </c>
      <c r="S30" t="s">
        <v>1096</v>
      </c>
      <c r="T30" s="334" t="s">
        <v>1088</v>
      </c>
      <c r="U30" s="335"/>
      <c r="V30" s="335"/>
    </row>
    <row r="31" spans="1:22" ht="15">
      <c r="A31" t="s">
        <v>1097</v>
      </c>
      <c r="B31" s="22">
        <v>0.25</v>
      </c>
      <c r="C31" s="22">
        <f>B31</f>
        <v>0.25</v>
      </c>
      <c r="D31" s="22">
        <f>C31</f>
        <v>0.25</v>
      </c>
      <c r="G31" s="171" t="s">
        <v>1098</v>
      </c>
      <c r="H31" s="170">
        <v>311.65399600000001</v>
      </c>
      <c r="I31" s="170">
        <v>8845.3479520000001</v>
      </c>
      <c r="J31" s="170">
        <v>22461.807872000001</v>
      </c>
      <c r="K31" s="170">
        <v>28682.778717000001</v>
      </c>
      <c r="L31" s="170">
        <v>8653.6989190000004</v>
      </c>
      <c r="S31" t="s">
        <v>1099</v>
      </c>
      <c r="T31">
        <v>0.35792764326805798</v>
      </c>
    </row>
    <row r="32" spans="1:22" ht="15">
      <c r="A32" t="s">
        <v>1100</v>
      </c>
      <c r="B32" s="102">
        <f>B30/B31</f>
        <v>72</v>
      </c>
      <c r="C32" s="102">
        <f>C30/C31</f>
        <v>312</v>
      </c>
      <c r="D32" s="102">
        <f>D30/D31</f>
        <v>386</v>
      </c>
      <c r="G32" s="171" t="s">
        <v>1101</v>
      </c>
      <c r="H32" s="173">
        <v>2.9555506715861044E-3</v>
      </c>
      <c r="I32" s="174">
        <v>8.3884289678565108E-2</v>
      </c>
      <c r="J32" s="174">
        <v>0.21301511353355998</v>
      </c>
      <c r="K32" s="174">
        <v>0.2720112913295839</v>
      </c>
      <c r="L32" s="174">
        <v>8.2066798372623442E-2</v>
      </c>
      <c r="N32" s="175">
        <f>SUM(I32:L32)</f>
        <v>0.65097749291433249</v>
      </c>
      <c r="Q32" t="s">
        <v>1102</v>
      </c>
      <c r="S32" t="s">
        <v>1103</v>
      </c>
      <c r="T32">
        <v>0.5922178577259587</v>
      </c>
    </row>
    <row r="33" spans="1:22" ht="15">
      <c r="A33" t="s">
        <v>1104</v>
      </c>
      <c r="B33" s="22">
        <v>0.8</v>
      </c>
      <c r="C33" s="22">
        <f>B33</f>
        <v>0.8</v>
      </c>
      <c r="D33" s="22">
        <f>C33</f>
        <v>0.8</v>
      </c>
      <c r="G33" s="171" t="s">
        <v>1105</v>
      </c>
      <c r="H33" s="176"/>
      <c r="I33" s="176">
        <v>8</v>
      </c>
      <c r="J33" s="176">
        <v>6</v>
      </c>
      <c r="K33" s="176">
        <v>3.7</v>
      </c>
      <c r="L33" s="176">
        <v>1.9</v>
      </c>
      <c r="Q33" s="22">
        <v>0.65</v>
      </c>
      <c r="S33" t="s">
        <v>1106</v>
      </c>
      <c r="T33">
        <v>5.2470383697893502E-2</v>
      </c>
    </row>
    <row r="34" spans="1:22" ht="15">
      <c r="A34" t="s">
        <v>1107</v>
      </c>
      <c r="B34" s="22">
        <v>0.7</v>
      </c>
      <c r="C34" s="22">
        <f>B34</f>
        <v>0.7</v>
      </c>
      <c r="D34" s="22">
        <f>C34</f>
        <v>0.7</v>
      </c>
      <c r="G34" s="171" t="s">
        <v>1108</v>
      </c>
      <c r="H34" s="170"/>
      <c r="I34" s="170">
        <v>1387</v>
      </c>
      <c r="J34" s="170">
        <v>2642</v>
      </c>
      <c r="K34" s="170">
        <v>2080</v>
      </c>
      <c r="L34" s="170">
        <v>322</v>
      </c>
      <c r="S34" t="s">
        <v>1109</v>
      </c>
      <c r="T34">
        <f>I41*Q33*L32</f>
        <v>1.4264030225145681</v>
      </c>
      <c r="V34">
        <f>I41*(Q33/L32)</f>
        <v>211.79088674913027</v>
      </c>
    </row>
    <row r="35" spans="1:22" ht="15">
      <c r="A35" t="s">
        <v>1110</v>
      </c>
      <c r="B35" s="102">
        <f>(B32*8760*B33*B34)</f>
        <v>353203.19999999995</v>
      </c>
      <c r="C35" s="102">
        <f>(C32*8760*C33*C34)</f>
        <v>1530547.2</v>
      </c>
      <c r="D35" s="102">
        <f>(D32*8760*D33*D34)</f>
        <v>1893561.5999999999</v>
      </c>
      <c r="G35" s="171" t="s">
        <v>1111</v>
      </c>
      <c r="H35" s="170"/>
      <c r="I35" s="177">
        <f t="shared" ref="I35:K35" si="0">I34*110%</f>
        <v>1525.7</v>
      </c>
      <c r="J35" s="177">
        <f>J34*110%</f>
        <v>2906.2000000000003</v>
      </c>
      <c r="K35" s="177">
        <f t="shared" si="0"/>
        <v>2288</v>
      </c>
      <c r="L35" s="177">
        <f>L34*110%</f>
        <v>354.20000000000005</v>
      </c>
      <c r="S35" t="s">
        <v>1112</v>
      </c>
      <c r="T35" s="334" t="s">
        <v>1087</v>
      </c>
      <c r="U35" s="335"/>
      <c r="V35" s="335"/>
    </row>
    <row r="36" spans="1:22">
      <c r="A36" t="s">
        <v>1062</v>
      </c>
      <c r="B36" s="165">
        <f>B35/10^6</f>
        <v>0.35320319999999994</v>
      </c>
      <c r="C36" s="165">
        <f>C35/10^6</f>
        <v>1.5305472</v>
      </c>
      <c r="D36" s="165">
        <f>D35/10^6</f>
        <v>1.8935616</v>
      </c>
      <c r="G36" s="102"/>
      <c r="H36" s="102"/>
      <c r="I36" s="102"/>
      <c r="J36" s="102"/>
      <c r="K36" s="102"/>
      <c r="L36" s="102"/>
      <c r="S36" t="s">
        <v>1099</v>
      </c>
      <c r="T36">
        <v>0.31966635214720912</v>
      </c>
    </row>
    <row r="37" spans="1:22">
      <c r="A37" t="s">
        <v>1113</v>
      </c>
      <c r="B37" s="102">
        <f>B36*3600</f>
        <v>1271.5315199999998</v>
      </c>
      <c r="C37" s="102">
        <f>C36*3600</f>
        <v>5509.9699199999995</v>
      </c>
      <c r="D37" s="102">
        <f>D36*3600</f>
        <v>6816.8217599999998</v>
      </c>
      <c r="G37" s="102" t="s">
        <v>1114</v>
      </c>
      <c r="H37" s="102"/>
      <c r="I37" s="102"/>
      <c r="J37" s="102"/>
      <c r="K37" s="102"/>
      <c r="L37" s="102"/>
      <c r="S37" t="s">
        <v>1103</v>
      </c>
      <c r="T37">
        <v>0.60404221809878245</v>
      </c>
    </row>
    <row r="38" spans="1:22">
      <c r="A38" t="s">
        <v>1061</v>
      </c>
      <c r="B38" s="26">
        <f>B37/1000</f>
        <v>1.2715315199999997</v>
      </c>
      <c r="C38" s="26">
        <f>C37/1000</f>
        <v>5.5099699199999996</v>
      </c>
      <c r="D38" s="178">
        <f>D37/1000</f>
        <v>6.8168217599999998</v>
      </c>
      <c r="S38" t="s">
        <v>1106</v>
      </c>
      <c r="T38">
        <v>7.6291429754008364E-2</v>
      </c>
    </row>
    <row r="39" spans="1:22">
      <c r="G39" t="s">
        <v>1115</v>
      </c>
      <c r="M39">
        <v>2018</v>
      </c>
      <c r="S39" t="s">
        <v>1109</v>
      </c>
    </row>
    <row r="40" spans="1:22" ht="15">
      <c r="A40" s="328" t="s">
        <v>1067</v>
      </c>
      <c r="B40" s="328"/>
      <c r="C40" s="328"/>
      <c r="D40" s="328"/>
      <c r="F40" t="s">
        <v>1116</v>
      </c>
      <c r="G40" t="s">
        <v>1117</v>
      </c>
      <c r="I40">
        <v>101.7</v>
      </c>
      <c r="J40" t="s">
        <v>484</v>
      </c>
      <c r="L40" t="s">
        <v>1099</v>
      </c>
      <c r="M40">
        <v>4.6900000000000004</v>
      </c>
      <c r="N40" t="s">
        <v>484</v>
      </c>
    </row>
    <row r="41" spans="1:22" ht="15">
      <c r="A41" s="166" t="s">
        <v>558</v>
      </c>
      <c r="B41" s="166">
        <v>2015</v>
      </c>
      <c r="D41" s="166">
        <v>2030</v>
      </c>
      <c r="F41" t="s">
        <v>1118</v>
      </c>
      <c r="G41" t="s">
        <v>1119</v>
      </c>
      <c r="I41">
        <v>26.74</v>
      </c>
      <c r="J41" t="s">
        <v>484</v>
      </c>
      <c r="L41" t="s">
        <v>1103</v>
      </c>
      <c r="M41">
        <v>37.79</v>
      </c>
      <c r="N41" t="s">
        <v>484</v>
      </c>
      <c r="S41" t="s">
        <v>1120</v>
      </c>
      <c r="T41" s="334" t="s">
        <v>1121</v>
      </c>
      <c r="U41" s="335"/>
      <c r="V41" s="335"/>
    </row>
    <row r="42" spans="1:22" ht="15">
      <c r="A42" t="s">
        <v>1122</v>
      </c>
      <c r="B42" s="26">
        <f>F3</f>
        <v>15.856999999999999</v>
      </c>
      <c r="D42" s="179">
        <f>B42</f>
        <v>15.856999999999999</v>
      </c>
      <c r="I42">
        <f>SUM(I40:I41)</f>
        <v>128.44</v>
      </c>
      <c r="J42" t="s">
        <v>484</v>
      </c>
      <c r="L42" t="s">
        <v>1106</v>
      </c>
      <c r="M42">
        <v>59.22</v>
      </c>
      <c r="N42" t="s">
        <v>484</v>
      </c>
      <c r="S42" t="s">
        <v>1099</v>
      </c>
      <c r="T42">
        <v>0.20014125552486003</v>
      </c>
    </row>
    <row r="43" spans="1:22">
      <c r="S43" t="s">
        <v>1103</v>
      </c>
      <c r="T43">
        <v>0.54761388560430635</v>
      </c>
    </row>
    <row r="44" spans="1:22">
      <c r="S44" t="s">
        <v>1106</v>
      </c>
      <c r="T44">
        <v>0.25224485887083364</v>
      </c>
    </row>
    <row r="45" spans="1:22" ht="15">
      <c r="A45" s="328" t="s">
        <v>1123</v>
      </c>
      <c r="B45" s="328"/>
      <c r="C45" s="328"/>
      <c r="D45" s="328"/>
      <c r="S45" t="s">
        <v>1109</v>
      </c>
    </row>
    <row r="46" spans="1:22" ht="15">
      <c r="A46" s="166" t="s">
        <v>558</v>
      </c>
      <c r="B46" s="166">
        <v>2018</v>
      </c>
      <c r="C46" s="166">
        <v>2020</v>
      </c>
      <c r="D46" s="166">
        <v>2030</v>
      </c>
      <c r="F46" s="166" t="s">
        <v>1124</v>
      </c>
    </row>
    <row r="47" spans="1:22">
      <c r="A47" t="s">
        <v>1125</v>
      </c>
      <c r="B47">
        <v>400</v>
      </c>
      <c r="C47">
        <v>700</v>
      </c>
      <c r="D47">
        <v>1400</v>
      </c>
    </row>
    <row r="48" spans="1:22" ht="30" customHeight="1">
      <c r="A48" s="180" t="s">
        <v>1126</v>
      </c>
      <c r="B48" s="181">
        <v>0.5</v>
      </c>
      <c r="C48" s="181">
        <f>B48</f>
        <v>0.5</v>
      </c>
      <c r="D48" s="181">
        <f>C48</f>
        <v>0.5</v>
      </c>
    </row>
    <row r="49" spans="1:4">
      <c r="A49" t="s">
        <v>1127</v>
      </c>
      <c r="B49">
        <f>B48*B47</f>
        <v>200</v>
      </c>
      <c r="C49">
        <f t="shared" ref="C49:D49" si="1">C48*C47</f>
        <v>350</v>
      </c>
      <c r="D49">
        <f t="shared" si="1"/>
        <v>700</v>
      </c>
    </row>
    <row r="50" spans="1:4">
      <c r="A50" t="s">
        <v>1128</v>
      </c>
      <c r="B50" s="22">
        <v>1</v>
      </c>
      <c r="C50" s="22">
        <f>B50</f>
        <v>1</v>
      </c>
      <c r="D50" s="22">
        <f>C50</f>
        <v>1</v>
      </c>
    </row>
    <row r="51" spans="1:4">
      <c r="A51" t="s">
        <v>1129</v>
      </c>
      <c r="B51">
        <f>B49*B50*8760</f>
        <v>1752000</v>
      </c>
      <c r="C51">
        <f>C49*C50*8760</f>
        <v>3066000</v>
      </c>
      <c r="D51">
        <f>D49*D50*8760</f>
        <v>6132000</v>
      </c>
    </row>
    <row r="52" spans="1:4">
      <c r="A52" t="s">
        <v>1130</v>
      </c>
      <c r="B52" s="165">
        <f>B51/10^6</f>
        <v>1.752</v>
      </c>
      <c r="C52" s="165">
        <f>C51/10^6</f>
        <v>3.0659999999999998</v>
      </c>
      <c r="D52" s="165">
        <f>D51/10^6</f>
        <v>6.1319999999999997</v>
      </c>
    </row>
    <row r="53" spans="1:4">
      <c r="A53" t="s">
        <v>1131</v>
      </c>
      <c r="B53" s="102">
        <f>B52*3600</f>
        <v>6307.2</v>
      </c>
      <c r="C53" s="102">
        <f>C52*3600</f>
        <v>11037.599999999999</v>
      </c>
      <c r="D53" s="102">
        <f>D52*3600</f>
        <v>22075.199999999997</v>
      </c>
    </row>
    <row r="54" spans="1:4">
      <c r="A54" t="s">
        <v>1132</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1063</v>
      </c>
      <c r="B64" s="188">
        <f>SUM(B59:B63)</f>
        <v>107.57544002309277</v>
      </c>
      <c r="C64" s="188">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7" t="s">
        <v>774</v>
      </c>
      <c r="D1" s="327"/>
      <c r="E1" s="327"/>
      <c r="F1" s="327"/>
      <c r="G1" s="327"/>
      <c r="H1" s="327"/>
      <c r="I1" s="327"/>
      <c r="J1" s="327"/>
      <c r="K1" s="327"/>
      <c r="L1" s="32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2023-05-01T18:59:58Z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