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8_{2558C4DC-E6FC-48EB-AE5B-487179A4CE18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20" l="1"/>
  <c r="F24" i="20" s="1"/>
  <c r="E7" i="20" s="1"/>
  <c r="D7" i="20"/>
  <c r="E24" i="20"/>
  <c r="C7" i="20" l="1"/>
  <c r="D4" i="20"/>
  <c r="B9" i="22" s="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K8" i="21"/>
  <c r="I8" i="21"/>
  <c r="H8" i="21"/>
  <c r="G8" i="21"/>
  <c r="F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C5" i="20"/>
  <c r="L7" i="21" s="1"/>
  <c r="C4" i="20"/>
  <c r="B7" i="21" s="1"/>
  <c r="E4" i="20" l="1"/>
  <c r="B11" i="22" s="1"/>
  <c r="K11" i="22"/>
  <c r="L11" i="22"/>
  <c r="B8" i="21"/>
  <c r="L8" i="21"/>
  <c r="L7" i="22"/>
  <c r="B7" i="22"/>
  <c r="H4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I3" i="15" a="1"/>
  <c r="I3" i="15" s="1"/>
  <c r="Y3" i="15" a="1"/>
  <c r="Y3" i="15" s="1"/>
  <c r="J3" i="15" a="1"/>
  <c r="J3" i="15" s="1"/>
  <c r="K3" i="15" a="1"/>
  <c r="K3" i="15" s="1"/>
  <c r="T3" i="15" a="1"/>
  <c r="T3" i="15" s="1"/>
  <c r="E3" i="15" a="1"/>
  <c r="E3" i="15" s="1"/>
  <c r="N3" i="15" a="1"/>
  <c r="N3" i="15" s="1"/>
  <c r="R3" i="15" a="1"/>
  <c r="R3" i="15" s="1"/>
  <c r="S3" i="15" a="1"/>
  <c r="S3" i="15" s="1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 s="1"/>
  <c r="E6" i="15"/>
  <c r="M6" i="15"/>
  <c r="U6" i="15"/>
  <c r="AC6" i="15"/>
  <c r="U3" i="15" a="1"/>
  <c r="U3" i="15" s="1"/>
  <c r="F6" i="15"/>
  <c r="N6" i="15"/>
  <c r="V6" i="15"/>
  <c r="AD6" i="15"/>
  <c r="J7" i="15"/>
  <c r="R7" i="15"/>
  <c r="Z7" i="15"/>
  <c r="G6" i="15"/>
  <c r="O6" i="15"/>
  <c r="W6" i="15"/>
  <c r="B2" i="21" l="1"/>
  <c r="H4" i="21" s="1"/>
  <c r="G3" i="23"/>
  <c r="B2" i="22"/>
  <c r="H4" i="22" s="1"/>
  <c r="H3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<sst xmlns="http://schemas.openxmlformats.org/spreadsheetml/2006/main" count="187" uniqueCount="123">
  <si>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</si>
  <si>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</si>
  <si>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</si>
  <si>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</si>
  <si>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</si>
  <si>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</si>
  <si>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</si>
  <si>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</si>
  <si>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</si>
  <si>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</si>
  <si>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</si>
  <si>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</si>
  <si>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</si>
  <si>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</si>
  <si>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</si>
  <si>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</si>
  <si>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</si>
  <si>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</si>
  <si>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</si>
  <si>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</si>
  <si>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</si>
  <si>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</si>
  <si>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</si>
  <si>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</si>
  <si>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</si>
  <si>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</si>
  <si>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</si>
  <si>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</si>
  <si>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</si>
  <si>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</si>
  <si>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</si>
  <si>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</si>
  <si>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</si>
  <si>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</si>
  <si>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</si>
  <si>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</si>
  <si>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</si>
  <si>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</si>
  <si>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</si>
  <si>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</si>
  <si>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</si>
  <si>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</si>
  <si>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</si>
  <si>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</si>
  <si>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</si>
  <si>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</si>
  <si>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</si>
  <si>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</si>
  <si>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</si>
  <si>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</si>
  <si>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</si>
  <si>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</si>
  <si>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</si>
  <si>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</si>
  <si>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</si>
  <si>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</si>
  <si>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</si>
  <si>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</si>
  <si>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</si>
  <si>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</si>
  <si>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</si>
  <si>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</si>
  <si>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</si>
  <si>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</si>
  <si>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</si>
  <si>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</si>
  <si>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</si>
  <si>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</si>
  <si>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</si>
  <si>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</si>
  <si>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</si>
  <si>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</si>
  <si>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</si>
  <si>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</si>
  <si>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</si>
  <si>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</si>
  <si>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</si>
  <si>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</si>
  <si>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</si>
  <si>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</si>
  <si>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</si>
  <si>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</si>
  <si>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</si>
  <si>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</si>
  <si>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</si>
  <si>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</si>
  <si>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</si>
  <si>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</si>
  <si>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</si>
  <si>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</si>
  <si>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</si>
  <si>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</si>
  <si>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</si>
  <si>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</si>
  <si>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</si>
  <si>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</si>
  <si>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</si>
  <si>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</si>
  <si>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</si>
  <si>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</si>
  <si>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</si>
  <si>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</si>
  <si>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</si>
  <si>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</si>
  <si>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</si>
  <si>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</si>
  <si>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</si>
  <si>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</si>
  <si>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</si>
  <si>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</si>
  <si>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</si>
  <si>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</si>
  <si>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</si>
  <si>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</si>
  <si>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</si>
  <si>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</si>
  <si>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</si>
  <si>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</si>
  <si>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</si>
  <si>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</si>
  <si>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</si>
  <si>
    <t>Carbon budget 1</t>
  </si>
  <si>
    <t>Carbon budget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</si>
</sst>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1640625" defaultRowHeight="14.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36328125" customWidth="1"/>
    <col min="15" max="15" width="13.3632812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36328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36328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>
      <c r="A4">
        <v>2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workbookViewId="0">
      <selection activeCell="D25" sqref="D25"/>
    </sheetView>
  </sheetViews>
  <sheetFormatPr defaultColWidth="9.1796875" defaultRowHeight="14.5"/>
  <cols>
    <col min="2" max="2" width="14" bestFit="1" customWidth="1"/>
    <col min="3" max="3" width="30.1796875" bestFit="1" customWidth="1"/>
    <col min="4" max="4" width="28" bestFit="1" customWidth="1"/>
    <col min="5" max="5" width="26" bestFit="1" customWidth="1"/>
    <col min="6" max="6" width="28" bestFit="1" customWidth="1"/>
    <col min="13" max="13" width="10.5429687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UC_CB_165_Mt_2021-2025</v>
      </c>
      <c r="D4" t="str">
        <f t="shared" ref="D4:E4" si="0" xml:space="preserve"> _xlfn.TEXTJOIN("_",TRUE,"UC","CB",ROUND(D7,0),"Mt",D6)</f>
        <v>UC_CB_109_Mt_2026-2030</v>
      </c>
      <c r="E4" t="str">
        <f t="shared" si="0"/>
        <v>UC_CB_-24_Mt_2031-2050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165 Mt 2021-2025</v>
      </c>
      <c r="D5" t="str">
        <f t="shared" ref="D5:F5" si="2" xml:space="preserve"> _xlfn.TEXTJOIN(" ",TRUE,"Carbon budget",ROUND(D7,0),"Mt",D6)</f>
        <v>Carbon budget 109 Mt 2026-2030</v>
      </c>
      <c r="E5" t="str">
        <f t="shared" si="2"/>
        <v>Carbon budget -24 Mt 2031-2050</v>
      </c>
      <c r="F5" t="str">
        <f t="shared" si="2"/>
        <v>Carbon budget 0 Mt 2051-2100</v>
      </c>
    </row>
    <row r="6" spans="2:6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>
      <c r="B7" t="s">
        <v>69</v>
      </c>
      <c r="C7" s="17">
        <f>D24</f>
        <v>165.2</v>
      </c>
      <c r="D7" s="17">
        <f t="shared" ref="D7:E7" si="3">E24</f>
        <v>109</v>
      </c>
      <c r="E7" s="17">
        <f t="shared" si="3"/>
        <v>-24.199999999999989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250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40+54+29+7+30+5.2</f>
        <v>165.2</v>
      </c>
      <c r="E24" s="34">
        <f>20+37+23+5+24</f>
        <v>109</v>
      </c>
      <c r="F24" s="34">
        <f>D19-D24-E24</f>
        <v>-24.199999999999989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N8"/>
  <sheetViews>
    <sheetView tabSelected="1" workbookViewId="0">
      <selection activeCell="N9" sqref="N9"/>
    </sheetView>
  </sheetViews>
  <sheetFormatPr defaultColWidth="9.1796875" defaultRowHeight="14.5"/>
  <cols>
    <col min="2" max="2" width="28.54296875" bestFit="1" customWidth="1"/>
    <col min="3" max="3" width="12" bestFit="1" customWidth="1"/>
    <col min="4" max="4" width="8.36328125" bestFit="1" customWidth="1"/>
    <col min="5" max="5" width="14.36328125" bestFit="1" customWidth="1"/>
    <col min="6" max="6" width="9.26953125" bestFit="1" customWidth="1"/>
    <col min="7" max="7" width="13.36328125" bestFit="1" customWidth="1"/>
    <col min="8" max="8" width="8.36328125" bestFit="1" customWidth="1"/>
    <col min="9" max="9" width="12.54296875" bestFit="1" customWidth="1"/>
    <col min="10" max="10" width="12.1796875" bestFit="1" customWidth="1"/>
    <col min="11" max="11" width="9.36328125" bestFit="1" customWidth="1"/>
    <col min="12" max="12" width="34.26953125" bestFit="1" customWidth="1"/>
  </cols>
  <sheetData>
    <row r="1" spans="1:14">
      <c r="A1" t="s">
        <v>64</v>
      </c>
    </row>
    <row r="2" spans="1:14">
      <c r="B2" s="9" t="str">
        <f>"~UC_Sets: R_E: "  &amp; _xlfn.TEXTJOIN(",",TRUE,Regions!C3)</f>
        <v>~UC_Sets: R_E: IE</v>
      </c>
    </row>
    <row r="3" spans="1:14">
      <c r="B3" s="9" t="s">
        <v>75</v>
      </c>
    </row>
    <row r="4" spans="1:14">
      <c r="H4" t="str">
        <f>IF(RIGHT(B2,1)&lt;&gt;" ","~UC_T","")</f>
        <v>~UC_T</v>
      </c>
    </row>
    <row r="5" spans="1:14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4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4">
      <c r="B7" t="str">
        <f>VLOOKUP($B$5, config!$B$4:$F$14,2,FALSE) &amp; "_Single"</f>
        <v>UC_CB_165_Mt_2021-2025_Single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165200</v>
      </c>
      <c r="L7" t="str">
        <f>VLOOKUP($L$5, config!$B$4:$F$14,2,FALSE) &amp; " - Single"</f>
        <v>Carbon budget 165 Mt 2021-2025 - Single</v>
      </c>
      <c r="N7" t="s">
        <v>121</v>
      </c>
    </row>
    <row r="8" spans="1:14">
      <c r="B8" t="str">
        <f>VLOOKUP($B$5, config!$B$4:$F$14,3,FALSE) &amp; "_Single"</f>
        <v>UC_CB_109_Mt_2026-2030_Single</v>
      </c>
      <c r="C8" t="str">
        <f>VLOOKUP(C$5, config!$B$4:$F$14,3,FALSE)</f>
        <v>TOTCO2</v>
      </c>
      <c r="D8" t="str">
        <f>VLOOKUP(D$5, config!$B$4:$F$14,3,FALSE)</f>
        <v>ENV</v>
      </c>
      <c r="F8" t="str">
        <f>VLOOKUP(F$5, config!$B$4:$F$14,3,FALSE)</f>
        <v>2026-2030</v>
      </c>
      <c r="G8" t="str">
        <f>VLOOKUP(G$5, config!$B$4:$F$14,3,FALSE)</f>
        <v>NET</v>
      </c>
      <c r="H8" t="str">
        <f>VLOOKUP(H$5, config!$B$4:$F$14,3,FALSE)</f>
        <v>UP</v>
      </c>
      <c r="I8">
        <f>VLOOKUP(I$5, config!$B$4:$F$14,3,FALSE)</f>
        <v>1</v>
      </c>
      <c r="K8" s="17">
        <f>VLOOKUP("Value", config!$B$4:$F$14,3,FALSE)*1000</f>
        <v>109000</v>
      </c>
      <c r="L8" t="str">
        <f>VLOOKUP($L$5, config!$B$4:$F$14,3,FALSE) &amp; " - Single"</f>
        <v>Carbon budget 109 Mt 2026-2030 - Single</v>
      </c>
      <c r="N8" t="s">
        <v>122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H5" sqref="H5"/>
    </sheetView>
  </sheetViews>
  <sheetFormatPr defaultColWidth="9.1796875" defaultRowHeight="14.5"/>
  <cols>
    <col min="2" max="2" width="28.26953125" customWidth="1"/>
    <col min="3" max="3" width="12" bestFit="1" customWidth="1"/>
    <col min="4" max="4" width="8.36328125" bestFit="1" customWidth="1"/>
    <col min="5" max="5" width="14.36328125" bestFit="1" customWidth="1"/>
    <col min="6" max="6" width="9.26953125" bestFit="1" customWidth="1"/>
    <col min="7" max="7" width="13.36328125" bestFit="1" customWidth="1"/>
    <col min="8" max="8" width="8.36328125" bestFit="1" customWidth="1"/>
    <col min="9" max="9" width="12.54296875" bestFit="1" customWidth="1"/>
    <col min="10" max="10" width="12.1796875" bestFit="1" customWidth="1"/>
    <col min="11" max="11" width="8.36328125" bestFit="1" customWidth="1"/>
    <col min="12" max="12" width="33.8164062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 xml:space="preserve">UC_Sets: R_S: </v>
      </c>
    </row>
    <row r="3" spans="1:12">
      <c r="B3" s="9" t="s">
        <v>120</v>
      </c>
    </row>
    <row r="4" spans="1:12">
      <c r="H4" t="str">
        <f>IF(RIGHT(B2,1)&lt;&gt;" ","UC_T","")</f>
        <v/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UC_CB_165_Mt_2021-2025_Multi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165200</v>
      </c>
      <c r="L7" t="str">
        <f>VLOOKUP(L$5, config!$B$4:$F$14,2,FALSE) &amp; " - Multi"</f>
        <v>Carbon budget 165 Mt 2021-2025 -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UC_CB_109_Mt_2026-2030_Multi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109000</v>
      </c>
      <c r="L9" t="str">
        <f>VLOOKUP(L$5, config!$B$4:$F$14,3,FALSE) &amp; " - Multi"</f>
        <v>Carbon budget 109 Mt 2026-2030 -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>
      <c r="B11" t="str">
        <f>VLOOKUP(B$5, config!$B$4:$F$14,4,FALSE) &amp; "_Multi"</f>
        <v>UC_CB_-24_Mt_2031-2050_Multi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-24199.999999999989</v>
      </c>
      <c r="L11" t="str">
        <f>VLOOKUP(L$5, config!$B$4:$F$14,4,FALSE) &amp; " - Multi"</f>
        <v>Carbon budget -24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workbookViewId="0">
      <selection activeCell="D17" sqref="D17"/>
    </sheetView>
  </sheetViews>
  <sheetFormatPr defaultRowHeight="14.5"/>
  <cols>
    <col min="2" max="2" width="10.1796875" bestFit="1" customWidth="1"/>
    <col min="4" max="4" width="13.7265625" bestFit="1" customWidth="1"/>
    <col min="5" max="5" width="5.1796875" bestFit="1" customWidth="1"/>
    <col min="6" max="6" width="10.1796875" bestFit="1" customWidth="1"/>
  </cols>
  <sheetData>
    <row r="2" spans="2:9">
      <c r="B2" s="14" t="s">
        <v>118</v>
      </c>
    </row>
    <row r="3" spans="2:9" ht="1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/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2024-08-23T10:45:49Z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