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299E889-5904-4238-9888-44E1D47E297C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47" i="55" l="1"/>
  <c r="Z248" i="55"/>
  <c r="Z249" i="55"/>
  <c r="Z250" i="55"/>
  <c r="Z251" i="55"/>
  <c r="Z252" i="55"/>
  <c r="Z253" i="55"/>
  <c r="Z254" i="55"/>
  <c r="Z255" i="55"/>
  <c r="Z256" i="55"/>
  <c r="Z246" i="55"/>
  <c r="Z235" i="55"/>
  <c r="W246" i="55"/>
  <c r="X246" i="55"/>
  <c r="Y246" i="55"/>
  <c r="V246" i="55"/>
  <c r="Z236" i="55"/>
  <c r="Z237" i="55"/>
  <c r="Z238" i="55"/>
  <c r="Z239" i="55"/>
  <c r="Z240" i="55"/>
  <c r="Z241" i="55"/>
  <c r="Z242" i="55"/>
  <c r="Z243" i="55"/>
  <c r="Z244" i="55"/>
  <c r="Z245" i="55"/>
  <c r="Z224" i="55"/>
  <c r="W235" i="55"/>
  <c r="X235" i="55"/>
  <c r="Y235" i="55"/>
  <c r="V235" i="55"/>
  <c r="Z225" i="55"/>
  <c r="Z226" i="55"/>
  <c r="Z227" i="55"/>
  <c r="Z228" i="55"/>
  <c r="Z229" i="55"/>
  <c r="Z230" i="55"/>
  <c r="Z231" i="55"/>
  <c r="Z232" i="55"/>
  <c r="Z233" i="55"/>
  <c r="Z234" i="55"/>
  <c r="Z213" i="55"/>
  <c r="W224" i="55"/>
  <c r="X224" i="55"/>
  <c r="Y224" i="55"/>
  <c r="V224" i="55"/>
  <c r="Z214" i="55"/>
  <c r="Z215" i="55"/>
  <c r="Z216" i="55"/>
  <c r="Z217" i="55"/>
  <c r="Z218" i="55"/>
  <c r="Z219" i="55"/>
  <c r="Z220" i="55"/>
  <c r="Z221" i="55"/>
  <c r="Z222" i="55"/>
  <c r="Z223" i="55"/>
  <c r="Z202" i="55"/>
  <c r="Y213" i="55"/>
  <c r="X213" i="55"/>
  <c r="W213" i="55"/>
  <c r="V213" i="55"/>
  <c r="V208" i="55"/>
  <c r="Z203" i="55"/>
  <c r="Z204" i="55"/>
  <c r="Z205" i="55"/>
  <c r="Z206" i="55"/>
  <c r="Z207" i="55"/>
  <c r="Z208" i="55"/>
  <c r="Z209" i="55"/>
  <c r="Z210" i="55"/>
  <c r="Z211" i="55"/>
  <c r="Z212" i="55"/>
  <c r="Z105" i="55"/>
  <c r="V202" i="55"/>
  <c r="V105" i="55"/>
  <c r="V116" i="55" s="1"/>
  <c r="V122" i="55" s="1"/>
  <c r="Z149" i="55"/>
  <c r="Z138" i="55"/>
  <c r="W149" i="55"/>
  <c r="X149" i="55"/>
  <c r="Y149" i="55"/>
  <c r="V149" i="55"/>
  <c r="V138" i="55"/>
  <c r="W138" i="55"/>
  <c r="X138" i="55"/>
  <c r="Y138" i="55"/>
  <c r="Z128" i="55"/>
  <c r="Z129" i="55"/>
  <c r="Z130" i="55"/>
  <c r="Z131" i="55"/>
  <c r="Z132" i="55"/>
  <c r="Z133" i="55"/>
  <c r="Z134" i="55"/>
  <c r="Z135" i="55"/>
  <c r="Z136" i="55"/>
  <c r="Z137" i="55"/>
  <c r="Z127" i="55"/>
  <c r="Y127" i="55"/>
  <c r="X127" i="55"/>
  <c r="W127" i="55"/>
  <c r="V127" i="55"/>
  <c r="Z117" i="55"/>
  <c r="Z118" i="55"/>
  <c r="Z119" i="55"/>
  <c r="Z120" i="55"/>
  <c r="Z121" i="55"/>
  <c r="Z122" i="55"/>
  <c r="Z123" i="55"/>
  <c r="Z124" i="55"/>
  <c r="Z125" i="55"/>
  <c r="Z126" i="55"/>
  <c r="Z116" i="55"/>
  <c r="W116" i="55"/>
  <c r="X116" i="55"/>
  <c r="Y116" i="55"/>
  <c r="Z106" i="55"/>
  <c r="Z107" i="55"/>
  <c r="Z108" i="55"/>
  <c r="Z109" i="55"/>
  <c r="Z110" i="55"/>
  <c r="Z111" i="55"/>
  <c r="Z112" i="55"/>
  <c r="Z113" i="55"/>
  <c r="Z114" i="55"/>
  <c r="Z115" i="55"/>
  <c r="Z20" i="55"/>
  <c r="W105" i="55"/>
  <c r="X105" i="55"/>
  <c r="Y105" i="55"/>
  <c r="V20" i="55"/>
  <c r="V53" i="55"/>
  <c r="W49" i="55"/>
  <c r="X49" i="55"/>
  <c r="Y49" i="55"/>
  <c r="W50" i="55"/>
  <c r="X50" i="55"/>
  <c r="Y50" i="55"/>
  <c r="W51" i="55"/>
  <c r="X51" i="55"/>
  <c r="Y51" i="55"/>
  <c r="W52" i="55"/>
  <c r="X52" i="55"/>
  <c r="Y52" i="55"/>
  <c r="V52" i="55"/>
  <c r="V51" i="55"/>
  <c r="V50" i="55"/>
  <c r="V49" i="55"/>
  <c r="W48" i="55"/>
  <c r="X48" i="55"/>
  <c r="Y48" i="55"/>
  <c r="V48" i="55"/>
  <c r="Y42" i="55"/>
  <c r="X42" i="55"/>
  <c r="W42" i="55"/>
  <c r="V42" i="55"/>
  <c r="W41" i="55"/>
  <c r="X41" i="55"/>
  <c r="Y41" i="55"/>
  <c r="V41" i="55"/>
  <c r="W40" i="55"/>
  <c r="X40" i="55"/>
  <c r="Y40" i="55"/>
  <c r="V40" i="55"/>
  <c r="W39" i="55"/>
  <c r="X39" i="55"/>
  <c r="Y39" i="55"/>
  <c r="V39" i="55"/>
  <c r="W38" i="55"/>
  <c r="X38" i="55"/>
  <c r="Y38" i="55"/>
  <c r="V38" i="55"/>
  <c r="W37" i="55"/>
  <c r="X37" i="55"/>
  <c r="Y37" i="55"/>
  <c r="V37" i="55"/>
  <c r="W31" i="55"/>
  <c r="X31" i="55"/>
  <c r="Y31" i="55"/>
  <c r="V31" i="55"/>
  <c r="W30" i="55"/>
  <c r="X30" i="55"/>
  <c r="Y30" i="55"/>
  <c r="V30" i="55"/>
  <c r="W29" i="55"/>
  <c r="X29" i="55"/>
  <c r="Y29" i="55"/>
  <c r="V29" i="55"/>
  <c r="W28" i="55"/>
  <c r="X28" i="55"/>
  <c r="Y28" i="55"/>
  <c r="V28" i="55"/>
  <c r="W27" i="55"/>
  <c r="X27" i="55"/>
  <c r="Y27" i="55"/>
  <c r="V27" i="55"/>
  <c r="X26" i="55"/>
  <c r="Y26" i="55"/>
  <c r="W26" i="55"/>
  <c r="Y266" i="55"/>
  <c r="X266" i="55"/>
  <c r="W266" i="55"/>
  <c r="V266" i="55"/>
  <c r="Y265" i="55"/>
  <c r="X265" i="55"/>
  <c r="W265" i="55"/>
  <c r="V265" i="55"/>
  <c r="Y198" i="55"/>
  <c r="X198" i="55"/>
  <c r="W198" i="55"/>
  <c r="V198" i="55"/>
  <c r="Y169" i="55"/>
  <c r="X169" i="55"/>
  <c r="W169" i="55"/>
  <c r="V169" i="55"/>
  <c r="Y168" i="55"/>
  <c r="X168" i="55"/>
  <c r="W168" i="55"/>
  <c r="V168" i="55"/>
  <c r="Y101" i="55"/>
  <c r="X101" i="55"/>
  <c r="W101" i="55"/>
  <c r="V101" i="55"/>
  <c r="Y75" i="55"/>
  <c r="X75" i="55"/>
  <c r="W75" i="55"/>
  <c r="V75" i="55"/>
  <c r="Y73" i="55"/>
  <c r="X73" i="55"/>
  <c r="W73" i="55"/>
  <c r="V73" i="55"/>
  <c r="Y72" i="55"/>
  <c r="X72" i="55"/>
  <c r="W72" i="55"/>
  <c r="V72" i="55"/>
  <c r="Y16" i="55"/>
  <c r="X16" i="55"/>
  <c r="W16" i="55"/>
  <c r="V16" i="55"/>
  <c r="V26" i="55"/>
  <c r="W20" i="55"/>
  <c r="X20" i="55"/>
  <c r="Y20" i="55"/>
  <c r="V111" i="55" l="1"/>
  <c r="AJ256" i="55"/>
  <c r="AJ255" i="55"/>
  <c r="AJ254" i="55"/>
  <c r="AJ253" i="55"/>
  <c r="AJ252" i="55"/>
  <c r="AJ245" i="55"/>
  <c r="AJ244" i="55"/>
  <c r="AJ243" i="55"/>
  <c r="AJ242" i="55"/>
  <c r="AJ241" i="55"/>
  <c r="AJ234" i="55"/>
  <c r="AJ233" i="55"/>
  <c r="AJ232" i="55"/>
  <c r="AJ231" i="55"/>
  <c r="AJ230" i="55"/>
  <c r="AJ223" i="55"/>
  <c r="AJ222" i="55"/>
  <c r="AJ221" i="55"/>
  <c r="AJ220" i="55"/>
  <c r="AJ219" i="55"/>
  <c r="AJ212" i="55"/>
  <c r="AJ211" i="55"/>
  <c r="AJ210" i="55"/>
  <c r="AJ209" i="55"/>
  <c r="AJ208" i="55"/>
  <c r="AJ159" i="55"/>
  <c r="AJ158" i="55"/>
  <c r="AJ157" i="55"/>
  <c r="AJ156" i="55"/>
  <c r="AJ155" i="55"/>
  <c r="AJ148" i="55"/>
  <c r="AJ147" i="55"/>
  <c r="AJ146" i="55"/>
  <c r="AJ145" i="55"/>
  <c r="AJ144" i="55"/>
  <c r="AJ137" i="55"/>
  <c r="AJ136" i="55"/>
  <c r="AJ135" i="55"/>
  <c r="AJ134" i="55"/>
  <c r="AJ133" i="55"/>
  <c r="AJ126" i="55"/>
  <c r="AJ125" i="55"/>
  <c r="AJ124" i="55"/>
  <c r="AJ123" i="55"/>
  <c r="AJ122" i="55"/>
  <c r="AJ115" i="55"/>
  <c r="AJ114" i="55"/>
  <c r="AJ113" i="55"/>
  <c r="AJ112" i="55"/>
  <c r="AJ111" i="55"/>
  <c r="AJ63" i="55"/>
  <c r="AJ62" i="55"/>
  <c r="AJ61" i="55"/>
  <c r="AJ60" i="55"/>
  <c r="AJ59" i="55"/>
  <c r="AJ52" i="55"/>
  <c r="AJ51" i="55"/>
  <c r="AJ50" i="55"/>
  <c r="AJ49" i="55"/>
  <c r="AJ48" i="55"/>
  <c r="AJ38" i="55"/>
  <c r="AJ39" i="55"/>
  <c r="AJ40" i="55"/>
  <c r="AJ41" i="55"/>
  <c r="AJ37" i="55"/>
  <c r="AJ26" i="55"/>
  <c r="AJ30" i="55"/>
  <c r="AJ29" i="55"/>
  <c r="AJ28" i="55"/>
  <c r="AJ27" i="55"/>
  <c r="AM75" i="55" l="1"/>
  <c r="AM74" i="55"/>
  <c r="C36" i="55" l="1"/>
  <c r="C35" i="55"/>
  <c r="C34" i="55"/>
  <c r="C33" i="55"/>
  <c r="C32" i="55"/>
  <c r="C31" i="55"/>
  <c r="AN50" i="55"/>
  <c r="AO50" i="55"/>
  <c r="AN51" i="55"/>
  <c r="AO51" i="55"/>
  <c r="AN52" i="55"/>
  <c r="AO52" i="55"/>
  <c r="AN53" i="55"/>
  <c r="AO53" i="55"/>
  <c r="AN54" i="55"/>
  <c r="AO54" i="55"/>
  <c r="AN39" i="55"/>
  <c r="AO39" i="55"/>
  <c r="AN40" i="55"/>
  <c r="AO40" i="55"/>
  <c r="AN41" i="55"/>
  <c r="AO41" i="55"/>
  <c r="AN42" i="55"/>
  <c r="AO42" i="55"/>
  <c r="AN43" i="55"/>
  <c r="AO43" i="55"/>
  <c r="C58" i="55" l="1"/>
  <c r="C57" i="55"/>
  <c r="C56" i="55"/>
  <c r="C55" i="55"/>
  <c r="C54" i="55"/>
  <c r="AO251" i="55" l="1"/>
  <c r="AO252" i="55"/>
  <c r="AO253" i="55"/>
  <c r="AO254" i="55"/>
  <c r="AO255" i="55"/>
  <c r="AO240" i="55"/>
  <c r="AO241" i="55"/>
  <c r="AO242" i="55"/>
  <c r="AO243" i="55"/>
  <c r="AO244" i="55"/>
  <c r="AO229" i="55"/>
  <c r="AO230" i="55"/>
  <c r="AO231" i="55"/>
  <c r="AO232" i="55"/>
  <c r="AO233" i="55"/>
  <c r="AO218" i="55"/>
  <c r="AO219" i="55"/>
  <c r="AO220" i="55"/>
  <c r="AO221" i="55"/>
  <c r="AO222" i="55"/>
  <c r="AO207" i="55"/>
  <c r="AO208" i="55"/>
  <c r="AO209" i="55"/>
  <c r="AO210" i="55"/>
  <c r="AO211" i="55"/>
  <c r="C251" i="55"/>
  <c r="AN255" i="55" s="1"/>
  <c r="C250" i="55"/>
  <c r="AN254" i="55" s="1"/>
  <c r="C249" i="55"/>
  <c r="AN253" i="55" s="1"/>
  <c r="C248" i="55"/>
  <c r="AN252" i="55" s="1"/>
  <c r="C247" i="55"/>
  <c r="AN251" i="55" s="1"/>
  <c r="C240" i="55"/>
  <c r="AN244" i="55" s="1"/>
  <c r="C239" i="55"/>
  <c r="AN243" i="55" s="1"/>
  <c r="C238" i="55"/>
  <c r="AN242" i="55" s="1"/>
  <c r="C237" i="55"/>
  <c r="AN241" i="55" s="1"/>
  <c r="C236" i="55"/>
  <c r="AN240" i="55" s="1"/>
  <c r="C229" i="55"/>
  <c r="AN233" i="55" s="1"/>
  <c r="C228" i="55"/>
  <c r="AN232" i="55" s="1"/>
  <c r="C227" i="55"/>
  <c r="AN231" i="55" s="1"/>
  <c r="C226" i="55"/>
  <c r="AN230" i="55" s="1"/>
  <c r="C225" i="55"/>
  <c r="AN229" i="55" s="1"/>
  <c r="C218" i="55"/>
  <c r="AN222" i="55" s="1"/>
  <c r="C217" i="55"/>
  <c r="AN221" i="55" s="1"/>
  <c r="C216" i="55"/>
  <c r="AN220" i="55" s="1"/>
  <c r="C215" i="55"/>
  <c r="AN219" i="55" s="1"/>
  <c r="C214" i="55"/>
  <c r="AN218" i="55" s="1"/>
  <c r="C207" i="55"/>
  <c r="AN211" i="55" s="1"/>
  <c r="C206" i="55"/>
  <c r="AN210" i="55" s="1"/>
  <c r="C205" i="55"/>
  <c r="AN209" i="55" s="1"/>
  <c r="C204" i="55"/>
  <c r="AN208" i="55" s="1"/>
  <c r="C203" i="55"/>
  <c r="AN207" i="55" s="1"/>
  <c r="AO154" i="55"/>
  <c r="AO155" i="55"/>
  <c r="AO156" i="55"/>
  <c r="AO157" i="55"/>
  <c r="AO158" i="55"/>
  <c r="AO143" i="55"/>
  <c r="AO144" i="55"/>
  <c r="AO145" i="55"/>
  <c r="AO146" i="55"/>
  <c r="AO147" i="55"/>
  <c r="AO148" i="55"/>
  <c r="AO149" i="55"/>
  <c r="AO150" i="55"/>
  <c r="AO151" i="55"/>
  <c r="AO152" i="55"/>
  <c r="AO132" i="55"/>
  <c r="AO133" i="55"/>
  <c r="AO134" i="55"/>
  <c r="AO135" i="55"/>
  <c r="AO136" i="55"/>
  <c r="AO121" i="55"/>
  <c r="AO122" i="55"/>
  <c r="AO123" i="55"/>
  <c r="AO124" i="55"/>
  <c r="AO125" i="55"/>
  <c r="AO110" i="55"/>
  <c r="AO111" i="55"/>
  <c r="AO112" i="55"/>
  <c r="AO113" i="55"/>
  <c r="AO114" i="55"/>
  <c r="C110" i="55"/>
  <c r="AN114" i="55" s="1"/>
  <c r="C109" i="55"/>
  <c r="AN113" i="55" s="1"/>
  <c r="C108" i="55"/>
  <c r="AN112" i="55" s="1"/>
  <c r="C107" i="55"/>
  <c r="AN111" i="55" s="1"/>
  <c r="C106" i="55"/>
  <c r="AN110" i="55" s="1"/>
  <c r="C154" i="55"/>
  <c r="AN158" i="55" s="1"/>
  <c r="C153" i="55"/>
  <c r="AN157" i="55" s="1"/>
  <c r="C152" i="55"/>
  <c r="AN156" i="55" s="1"/>
  <c r="C151" i="55"/>
  <c r="AN155" i="55" s="1"/>
  <c r="C150" i="55"/>
  <c r="AN154" i="55" s="1"/>
  <c r="C143" i="55"/>
  <c r="AN147" i="55" s="1"/>
  <c r="C142" i="55"/>
  <c r="AN146" i="55" s="1"/>
  <c r="C141" i="55"/>
  <c r="AN145" i="55" s="1"/>
  <c r="C140" i="55"/>
  <c r="AN144" i="55" s="1"/>
  <c r="C139" i="55"/>
  <c r="AN143" i="55" s="1"/>
  <c r="C132" i="55"/>
  <c r="AN136" i="55" s="1"/>
  <c r="C131" i="55"/>
  <c r="AN135" i="55" s="1"/>
  <c r="C130" i="55"/>
  <c r="AN134" i="55" s="1"/>
  <c r="C129" i="55"/>
  <c r="AN133" i="55" s="1"/>
  <c r="C128" i="55"/>
  <c r="AN132" i="55" s="1"/>
  <c r="C121" i="55"/>
  <c r="AN125" i="55" s="1"/>
  <c r="C120" i="55"/>
  <c r="AN124" i="55" s="1"/>
  <c r="C119" i="55"/>
  <c r="AN123" i="55" s="1"/>
  <c r="C118" i="55"/>
  <c r="AN122" i="55" s="1"/>
  <c r="C117" i="55"/>
  <c r="AN121" i="55" s="1"/>
  <c r="AH117" i="55"/>
  <c r="AH118" i="55"/>
  <c r="AH119" i="55"/>
  <c r="AH120" i="55"/>
  <c r="AH121" i="55"/>
  <c r="AH54" i="55"/>
  <c r="AH55" i="55"/>
  <c r="AH56" i="55"/>
  <c r="AH57" i="55"/>
  <c r="AH58" i="55"/>
  <c r="AH43" i="55"/>
  <c r="AH44" i="55"/>
  <c r="AH45" i="55"/>
  <c r="AH46" i="55"/>
  <c r="AH47" i="55"/>
  <c r="C47" i="55"/>
  <c r="C46" i="55"/>
  <c r="C45" i="55"/>
  <c r="C44" i="55"/>
  <c r="C43" i="55"/>
  <c r="C42" i="55"/>
  <c r="AO28" i="55"/>
  <c r="AO29" i="55"/>
  <c r="AO30" i="55"/>
  <c r="AO31" i="55"/>
  <c r="AO32" i="55"/>
  <c r="AH32" i="55"/>
  <c r="AH33" i="55"/>
  <c r="AH34" i="55"/>
  <c r="AH35" i="55"/>
  <c r="AH36" i="55"/>
  <c r="H32" i="55"/>
  <c r="P32" i="55" s="1"/>
  <c r="I32" i="55"/>
  <c r="Q32" i="55" s="1"/>
  <c r="J32" i="55"/>
  <c r="R32" i="55" s="1"/>
  <c r="K32" i="55"/>
  <c r="S32" i="55" s="1"/>
  <c r="H33" i="55"/>
  <c r="P33" i="55" s="1"/>
  <c r="I33" i="55"/>
  <c r="Q33" i="55" s="1"/>
  <c r="J33" i="55"/>
  <c r="R33" i="55" s="1"/>
  <c r="K33" i="55"/>
  <c r="S33" i="55" s="1"/>
  <c r="H34" i="55"/>
  <c r="P34" i="55" s="1"/>
  <c r="I34" i="55"/>
  <c r="Q34" i="55" s="1"/>
  <c r="J34" i="55"/>
  <c r="R34" i="55" s="1"/>
  <c r="K34" i="55"/>
  <c r="S34" i="55" s="1"/>
  <c r="H35" i="55"/>
  <c r="P35" i="55" s="1"/>
  <c r="I35" i="55"/>
  <c r="Q35" i="55" s="1"/>
  <c r="J35" i="55"/>
  <c r="R35" i="55" s="1"/>
  <c r="K35" i="55"/>
  <c r="S35" i="55" s="1"/>
  <c r="H36" i="55"/>
  <c r="P36" i="55" s="1"/>
  <c r="I36" i="55"/>
  <c r="Q36" i="55" s="1"/>
  <c r="J36" i="55"/>
  <c r="R36" i="55" s="1"/>
  <c r="K36" i="55"/>
  <c r="S36" i="55" s="1"/>
  <c r="AN32" i="55"/>
  <c r="AN31" i="55"/>
  <c r="AN30" i="55"/>
  <c r="AN29" i="55"/>
  <c r="AN28" i="55"/>
  <c r="AO17" i="55"/>
  <c r="AO18" i="55"/>
  <c r="AO19" i="55"/>
  <c r="AO20" i="55"/>
  <c r="AO21" i="55"/>
  <c r="C28" i="55"/>
  <c r="AH21" i="55"/>
  <c r="AH22" i="55"/>
  <c r="AH23" i="55"/>
  <c r="AH24" i="55"/>
  <c r="AH25" i="55"/>
  <c r="H21" i="55"/>
  <c r="I21" i="55"/>
  <c r="J21" i="55"/>
  <c r="K21" i="55"/>
  <c r="H22" i="55"/>
  <c r="I22" i="55"/>
  <c r="J22" i="55"/>
  <c r="K22" i="55"/>
  <c r="H23" i="55"/>
  <c r="I23" i="55"/>
  <c r="J23" i="55"/>
  <c r="K23" i="55"/>
  <c r="H24" i="55"/>
  <c r="I24" i="55"/>
  <c r="J24" i="55"/>
  <c r="K24" i="55"/>
  <c r="H25" i="55"/>
  <c r="I25" i="55"/>
  <c r="J25" i="55"/>
  <c r="K25" i="55"/>
  <c r="C25" i="55"/>
  <c r="AN21" i="55" s="1"/>
  <c r="C24" i="55"/>
  <c r="AN20" i="55" s="1"/>
  <c r="C23" i="55"/>
  <c r="AN19" i="55" s="1"/>
  <c r="C22" i="55"/>
  <c r="AN18" i="55" s="1"/>
  <c r="C21" i="55"/>
  <c r="AN17" i="55" s="1"/>
  <c r="C20" i="55"/>
  <c r="I161" i="55" l="1"/>
  <c r="J161" i="55"/>
  <c r="K161" i="55"/>
  <c r="K138" i="55"/>
  <c r="K149" i="55" s="1"/>
  <c r="J138" i="55"/>
  <c r="J149" i="55" s="1"/>
  <c r="I105" i="55" l="1"/>
  <c r="V166" i="55" l="1"/>
  <c r="W166" i="55" l="1"/>
  <c r="X166" i="55"/>
  <c r="Y166" i="55"/>
  <c r="W263" i="55"/>
  <c r="X263" i="55"/>
  <c r="Y263" i="55"/>
  <c r="V263" i="55"/>
  <c r="W70" i="55"/>
  <c r="X70" i="55"/>
  <c r="Y70" i="55"/>
  <c r="V70" i="55"/>
  <c r="AH18" i="55" l="1"/>
  <c r="C263" i="55" l="1"/>
  <c r="C166" i="55"/>
  <c r="C70" i="55"/>
  <c r="I19" i="56" l="1"/>
  <c r="L18" i="56"/>
  <c r="L8" i="56"/>
  <c r="I7" i="56"/>
  <c r="H20" i="55" l="1"/>
  <c r="AH287" i="55" l="1"/>
  <c r="AJ287" i="55" s="1"/>
  <c r="AI304" i="55" s="1"/>
  <c r="AH288" i="55"/>
  <c r="AK288" i="55" s="1"/>
  <c r="AH289" i="55"/>
  <c r="AI289" i="55" s="1"/>
  <c r="AJ289" i="55" l="1"/>
  <c r="AI302" i="55" s="1"/>
  <c r="AJ288" i="55"/>
  <c r="AI303" i="55" s="1"/>
  <c r="AI313" i="55" s="1"/>
  <c r="AK289" i="55"/>
  <c r="AJ300" i="55" s="1"/>
  <c r="AJ310" i="55" s="1"/>
  <c r="AI288" i="55"/>
  <c r="AJ303" i="55"/>
  <c r="AJ302" i="55"/>
  <c r="AJ312" i="55" s="1"/>
  <c r="AH302" i="55"/>
  <c r="AH303" i="55"/>
  <c r="AK287" i="55"/>
  <c r="AJ304" i="55" s="1"/>
  <c r="AI287" i="55"/>
  <c r="AH304" i="55" s="1"/>
  <c r="AI301" i="55" l="1"/>
  <c r="AJ311" i="55"/>
  <c r="AJ301" i="55"/>
  <c r="M246" i="55"/>
  <c r="N246" i="55"/>
  <c r="O246" i="55"/>
  <c r="L246" i="55"/>
  <c r="M201" i="55"/>
  <c r="N201" i="55"/>
  <c r="O201" i="55"/>
  <c r="L201" i="55"/>
  <c r="L104" i="55"/>
  <c r="L19" i="55"/>
  <c r="K261" i="55" l="1"/>
  <c r="J261" i="55"/>
  <c r="I261" i="55"/>
  <c r="H261" i="55"/>
  <c r="K164" i="55"/>
  <c r="J164" i="55"/>
  <c r="I164" i="55"/>
  <c r="H164" i="55"/>
  <c r="K68" i="55"/>
  <c r="J68" i="55"/>
  <c r="I68" i="55"/>
  <c r="H68" i="55"/>
  <c r="Z37" i="55" l="1"/>
  <c r="Z38" i="55"/>
  <c r="Z39" i="55"/>
  <c r="Z40" i="55"/>
  <c r="Z41" i="55"/>
  <c r="Z31" i="55"/>
  <c r="Z26" i="55"/>
  <c r="Z27" i="55"/>
  <c r="Z28" i="55"/>
  <c r="Z29" i="55"/>
  <c r="Z30" i="55"/>
  <c r="AH312" i="55" l="1"/>
  <c r="AM314" i="55"/>
  <c r="AM324" i="55" s="1"/>
  <c r="AM313" i="55"/>
  <c r="AM312" i="55"/>
  <c r="AL303" i="55"/>
  <c r="AM311" i="55"/>
  <c r="AM310" i="55"/>
  <c r="AM320" i="55" s="1"/>
  <c r="AL301" i="55"/>
  <c r="AL311" i="55" s="1"/>
  <c r="AL304" i="55"/>
  <c r="AL314" i="55" s="1"/>
  <c r="AK304" i="55"/>
  <c r="AK314" i="55" s="1"/>
  <c r="AL302" i="55"/>
  <c r="AK302" i="55"/>
  <c r="AK312" i="55" s="1"/>
  <c r="AK303" i="55"/>
  <c r="AM321" i="55" l="1"/>
  <c r="J230" i="55"/>
  <c r="J208" i="55"/>
  <c r="J219" i="55" s="1"/>
  <c r="I241" i="55"/>
  <c r="I252" i="55" s="1"/>
  <c r="M252" i="55" s="1"/>
  <c r="K208" i="55"/>
  <c r="K219" i="55" s="1"/>
  <c r="J241" i="55"/>
  <c r="J252" i="55" s="1"/>
  <c r="N252" i="55" s="1"/>
  <c r="I230" i="55"/>
  <c r="I208" i="55"/>
  <c r="I219" i="55" s="1"/>
  <c r="H230" i="55"/>
  <c r="H208" i="55"/>
  <c r="H219" i="55" s="1"/>
  <c r="K230" i="55"/>
  <c r="H241" i="55"/>
  <c r="H252" i="55" s="1"/>
  <c r="L252" i="55" s="1"/>
  <c r="K241" i="55"/>
  <c r="K252" i="55" s="1"/>
  <c r="O252" i="55" s="1"/>
  <c r="K145" i="55"/>
  <c r="K156" i="55" s="1"/>
  <c r="H145" i="55"/>
  <c r="H156" i="55" s="1"/>
  <c r="L156" i="55" s="1"/>
  <c r="H134" i="55"/>
  <c r="I134" i="55"/>
  <c r="J134" i="55"/>
  <c r="I145" i="55"/>
  <c r="I156" i="55" s="1"/>
  <c r="K134" i="55"/>
  <c r="J145" i="55"/>
  <c r="J156" i="55" s="1"/>
  <c r="H112" i="55"/>
  <c r="H123" i="55" s="1"/>
  <c r="I112" i="55"/>
  <c r="I123" i="55" s="1"/>
  <c r="J112" i="55"/>
  <c r="J123" i="55" s="1"/>
  <c r="K112" i="55"/>
  <c r="K123" i="55" s="1"/>
  <c r="I245" i="55"/>
  <c r="I256" i="55" s="1"/>
  <c r="M256" i="55" s="1"/>
  <c r="J245" i="55"/>
  <c r="J256" i="55" s="1"/>
  <c r="N256" i="55" s="1"/>
  <c r="J234" i="55"/>
  <c r="K245" i="55"/>
  <c r="K256" i="55" s="1"/>
  <c r="O256" i="55" s="1"/>
  <c r="K234" i="55"/>
  <c r="I234" i="55"/>
  <c r="I212" i="55"/>
  <c r="I223" i="55" s="1"/>
  <c r="H245" i="55"/>
  <c r="H256" i="55" s="1"/>
  <c r="L256" i="55" s="1"/>
  <c r="J212" i="55"/>
  <c r="J223" i="55" s="1"/>
  <c r="H234" i="55"/>
  <c r="K212" i="55"/>
  <c r="K223" i="55" s="1"/>
  <c r="H212" i="55"/>
  <c r="H223" i="55" s="1"/>
  <c r="J148" i="55"/>
  <c r="J159" i="55" s="1"/>
  <c r="I137" i="55"/>
  <c r="H148" i="55"/>
  <c r="H159" i="55" s="1"/>
  <c r="L159" i="55" s="1"/>
  <c r="H137" i="55"/>
  <c r="K148" i="55"/>
  <c r="K159" i="55" s="1"/>
  <c r="I148" i="55"/>
  <c r="I159" i="55" s="1"/>
  <c r="J137" i="55"/>
  <c r="K137" i="55"/>
  <c r="H115" i="55"/>
  <c r="H126" i="55" s="1"/>
  <c r="I115" i="55"/>
  <c r="I126" i="55" s="1"/>
  <c r="J115" i="55"/>
  <c r="J126" i="55" s="1"/>
  <c r="K115" i="55"/>
  <c r="K126" i="55" s="1"/>
  <c r="AL310" i="55"/>
  <c r="AL312" i="55"/>
  <c r="AK311" i="55"/>
  <c r="AK310" i="55"/>
  <c r="I61" i="55"/>
  <c r="M61" i="55" s="1"/>
  <c r="K28" i="55"/>
  <c r="I50" i="55"/>
  <c r="J28" i="55"/>
  <c r="H61" i="55"/>
  <c r="L61" i="55" s="1"/>
  <c r="I28" i="55"/>
  <c r="J61" i="55"/>
  <c r="N61" i="55" s="1"/>
  <c r="H50" i="55"/>
  <c r="H28" i="55"/>
  <c r="I39" i="55"/>
  <c r="K61" i="55"/>
  <c r="O61" i="55" s="1"/>
  <c r="K39" i="55"/>
  <c r="J39" i="55"/>
  <c r="K50" i="55"/>
  <c r="J50" i="55"/>
  <c r="H39" i="55"/>
  <c r="H63" i="55"/>
  <c r="L63" i="55" s="1"/>
  <c r="H52" i="55"/>
  <c r="I41" i="55"/>
  <c r="I63" i="55"/>
  <c r="M63" i="55" s="1"/>
  <c r="I52" i="55"/>
  <c r="J63" i="55"/>
  <c r="N63" i="55" s="1"/>
  <c r="J52" i="55"/>
  <c r="H41" i="55"/>
  <c r="I30" i="55"/>
  <c r="K63" i="55"/>
  <c r="O63" i="55" s="1"/>
  <c r="K52" i="55"/>
  <c r="K41" i="55"/>
  <c r="H30" i="55"/>
  <c r="J41" i="55"/>
  <c r="J30" i="55"/>
  <c r="K30" i="55"/>
  <c r="AK313" i="55"/>
  <c r="H29" i="55" s="1"/>
  <c r="AH311" i="55"/>
  <c r="AH310" i="55"/>
  <c r="AK291" i="55"/>
  <c r="AK290" i="55"/>
  <c r="AJ291" i="55"/>
  <c r="AJ290" i="55"/>
  <c r="AI291" i="55"/>
  <c r="AI290" i="55"/>
  <c r="AH314" i="55" s="1"/>
  <c r="AH313" i="55" s="1"/>
  <c r="J133" i="55" l="1"/>
  <c r="K133" i="55"/>
  <c r="J144" i="55"/>
  <c r="J155" i="55" s="1"/>
  <c r="H144" i="55"/>
  <c r="H155" i="55" s="1"/>
  <c r="I133" i="55"/>
  <c r="K144" i="55"/>
  <c r="K155" i="55" s="1"/>
  <c r="I144" i="55"/>
  <c r="I155" i="55" s="1"/>
  <c r="H133" i="55"/>
  <c r="H111" i="55"/>
  <c r="H122" i="55" s="1"/>
  <c r="K111" i="55"/>
  <c r="K122" i="55" s="1"/>
  <c r="J111" i="55"/>
  <c r="J122" i="55" s="1"/>
  <c r="I111" i="55"/>
  <c r="I122" i="55" s="1"/>
  <c r="H59" i="55"/>
  <c r="H48" i="55"/>
  <c r="I37" i="55"/>
  <c r="I59" i="55"/>
  <c r="I48" i="55"/>
  <c r="J37" i="55"/>
  <c r="J48" i="55"/>
  <c r="K37" i="55"/>
  <c r="J59" i="55"/>
  <c r="K59" i="55"/>
  <c r="K48" i="55"/>
  <c r="H37" i="55"/>
  <c r="K60" i="55"/>
  <c r="K49" i="55"/>
  <c r="H38" i="55"/>
  <c r="I38" i="55"/>
  <c r="H60" i="55"/>
  <c r="H49" i="55"/>
  <c r="J38" i="55"/>
  <c r="I60" i="55"/>
  <c r="I49" i="55"/>
  <c r="K38" i="55"/>
  <c r="J60" i="55"/>
  <c r="J49" i="55"/>
  <c r="AL313" i="55"/>
  <c r="I135" i="55"/>
  <c r="K146" i="55"/>
  <c r="K157" i="55" s="1"/>
  <c r="J146" i="55"/>
  <c r="J157" i="55" s="1"/>
  <c r="H146" i="55"/>
  <c r="H157" i="55" s="1"/>
  <c r="L157" i="55" s="1"/>
  <c r="I146" i="55"/>
  <c r="I157" i="55" s="1"/>
  <c r="H135" i="55"/>
  <c r="J135" i="55"/>
  <c r="K135" i="55"/>
  <c r="H113" i="55"/>
  <c r="H124" i="55" s="1"/>
  <c r="J113" i="55"/>
  <c r="J124" i="55" s="1"/>
  <c r="I113" i="55"/>
  <c r="I124" i="55" s="1"/>
  <c r="K113" i="55"/>
  <c r="K124" i="55" s="1"/>
  <c r="AM322" i="55"/>
  <c r="J242" i="55"/>
  <c r="J253" i="55" s="1"/>
  <c r="N253" i="55" s="1"/>
  <c r="K231" i="55"/>
  <c r="I231" i="55"/>
  <c r="Q231" i="55" s="1"/>
  <c r="I209" i="55"/>
  <c r="I220" i="55" s="1"/>
  <c r="Q220" i="55" s="1"/>
  <c r="K242" i="55"/>
  <c r="K253" i="55" s="1"/>
  <c r="O253" i="55" s="1"/>
  <c r="H242" i="55"/>
  <c r="H253" i="55" s="1"/>
  <c r="L253" i="55" s="1"/>
  <c r="J209" i="55"/>
  <c r="J220" i="55" s="1"/>
  <c r="I242" i="55"/>
  <c r="I253" i="55" s="1"/>
  <c r="M253" i="55" s="1"/>
  <c r="J231" i="55"/>
  <c r="H231" i="55"/>
  <c r="K209" i="55"/>
  <c r="K220" i="55" s="1"/>
  <c r="S220" i="55" s="1"/>
  <c r="H209" i="55"/>
  <c r="H220" i="55" s="1"/>
  <c r="J26" i="55"/>
  <c r="H26" i="55"/>
  <c r="I26" i="55"/>
  <c r="K26" i="55"/>
  <c r="I27" i="55"/>
  <c r="H27" i="55"/>
  <c r="K27" i="55"/>
  <c r="J27" i="55"/>
  <c r="J40" i="55"/>
  <c r="I51" i="55"/>
  <c r="I29" i="55"/>
  <c r="I40" i="55"/>
  <c r="J51" i="55"/>
  <c r="J29" i="55"/>
  <c r="K29" i="55"/>
  <c r="H40" i="55"/>
  <c r="H62" i="55"/>
  <c r="L62" i="55" s="1"/>
  <c r="H51" i="55"/>
  <c r="J62" i="55"/>
  <c r="N62" i="55" s="1"/>
  <c r="I62" i="55"/>
  <c r="M62" i="55" s="1"/>
  <c r="K62" i="55"/>
  <c r="O62" i="55" s="1"/>
  <c r="K51" i="55"/>
  <c r="K40" i="55"/>
  <c r="AJ314" i="55"/>
  <c r="AJ313" i="55" s="1"/>
  <c r="AI314" i="55"/>
  <c r="AI311" i="55"/>
  <c r="AO267" i="55"/>
  <c r="AO206" i="55"/>
  <c r="AO212" i="55"/>
  <c r="AO213" i="55"/>
  <c r="AO214" i="55"/>
  <c r="AO215" i="55"/>
  <c r="AO216" i="55"/>
  <c r="AO217" i="55"/>
  <c r="AO223" i="55"/>
  <c r="AO224" i="55"/>
  <c r="AO225" i="55"/>
  <c r="AO226" i="55"/>
  <c r="AO227" i="55"/>
  <c r="AO228" i="55"/>
  <c r="AO234" i="55"/>
  <c r="AO235" i="55"/>
  <c r="AO236" i="55"/>
  <c r="AO237" i="55"/>
  <c r="AO238" i="55"/>
  <c r="AO239" i="55"/>
  <c r="AO245" i="55"/>
  <c r="AO246" i="55"/>
  <c r="AO247" i="55"/>
  <c r="AO248" i="55"/>
  <c r="AO249" i="55"/>
  <c r="AO250" i="55"/>
  <c r="AO256" i="55"/>
  <c r="AO257" i="55"/>
  <c r="AO258" i="55"/>
  <c r="AO259" i="55"/>
  <c r="AO260" i="55"/>
  <c r="AO261" i="55"/>
  <c r="AO262" i="55"/>
  <c r="AO263" i="55"/>
  <c r="AO264" i="55"/>
  <c r="AO265" i="55"/>
  <c r="AO266" i="55"/>
  <c r="AH252" i="55"/>
  <c r="AH253" i="55"/>
  <c r="AH254" i="55"/>
  <c r="AH255" i="55"/>
  <c r="AH256" i="55"/>
  <c r="AH241" i="55"/>
  <c r="AH242" i="55"/>
  <c r="AH243" i="55"/>
  <c r="AH244" i="55"/>
  <c r="AH245" i="55"/>
  <c r="AH230" i="55"/>
  <c r="AH231" i="55"/>
  <c r="AH232" i="55"/>
  <c r="AH233" i="55"/>
  <c r="AH234" i="55"/>
  <c r="AH219" i="55"/>
  <c r="AH220" i="55"/>
  <c r="AH221" i="55"/>
  <c r="AH222" i="55"/>
  <c r="AH223" i="55"/>
  <c r="AH208" i="55"/>
  <c r="AH209" i="55"/>
  <c r="AH210" i="55"/>
  <c r="AH211" i="55"/>
  <c r="AH212" i="55"/>
  <c r="Q224" i="55"/>
  <c r="R224" i="55"/>
  <c r="S224" i="55"/>
  <c r="Q230" i="55"/>
  <c r="R230" i="55"/>
  <c r="S230" i="55"/>
  <c r="R231" i="55"/>
  <c r="S231" i="55"/>
  <c r="Q234" i="55"/>
  <c r="R234" i="55"/>
  <c r="S234" i="55"/>
  <c r="P230" i="55"/>
  <c r="P231" i="55"/>
  <c r="P234" i="55"/>
  <c r="Q213" i="55"/>
  <c r="R213" i="55"/>
  <c r="S213" i="55"/>
  <c r="Q219" i="55"/>
  <c r="R219" i="55"/>
  <c r="S219" i="55"/>
  <c r="R220" i="55"/>
  <c r="Q223" i="55"/>
  <c r="R223" i="55"/>
  <c r="S223" i="55"/>
  <c r="P219" i="55"/>
  <c r="P220" i="55"/>
  <c r="P223" i="55"/>
  <c r="C256" i="55"/>
  <c r="AN260" i="55" s="1"/>
  <c r="C255" i="55"/>
  <c r="AN259" i="55" s="1"/>
  <c r="C254" i="55"/>
  <c r="AN258" i="55" s="1"/>
  <c r="C253" i="55"/>
  <c r="AN257" i="55" s="1"/>
  <c r="C252" i="55"/>
  <c r="AN256" i="55" s="1"/>
  <c r="C246" i="55"/>
  <c r="AN250" i="55" s="1"/>
  <c r="C245" i="55"/>
  <c r="AN249" i="55" s="1"/>
  <c r="C244" i="55"/>
  <c r="AN248" i="55" s="1"/>
  <c r="C243" i="55"/>
  <c r="AN247" i="55" s="1"/>
  <c r="C242" i="55"/>
  <c r="AN246" i="55" s="1"/>
  <c r="C241" i="55"/>
  <c r="AN245" i="55" s="1"/>
  <c r="C235" i="55"/>
  <c r="AN239" i="55" s="1"/>
  <c r="C234" i="55"/>
  <c r="AN238" i="55" s="1"/>
  <c r="C233" i="55"/>
  <c r="AN237" i="55" s="1"/>
  <c r="C232" i="55"/>
  <c r="AN236" i="55" s="1"/>
  <c r="C231" i="55"/>
  <c r="AN235" i="55" s="1"/>
  <c r="C230" i="55"/>
  <c r="AN234" i="55" s="1"/>
  <c r="C224" i="55"/>
  <c r="AN228" i="55" s="1"/>
  <c r="C223" i="55"/>
  <c r="AN227" i="55" s="1"/>
  <c r="C222" i="55"/>
  <c r="AN226" i="55" s="1"/>
  <c r="C221" i="55"/>
  <c r="AN225" i="55" s="1"/>
  <c r="C220" i="55"/>
  <c r="AN224" i="55" s="1"/>
  <c r="C219" i="55"/>
  <c r="AN223" i="55" s="1"/>
  <c r="C212" i="55"/>
  <c r="AN216" i="55" s="1"/>
  <c r="C211" i="55"/>
  <c r="AN215" i="55" s="1"/>
  <c r="C210" i="55"/>
  <c r="AN214" i="55" s="1"/>
  <c r="C209" i="55"/>
  <c r="AN213" i="55" s="1"/>
  <c r="C208" i="55"/>
  <c r="AN212" i="55" s="1"/>
  <c r="C213" i="55"/>
  <c r="AN217" i="55" s="1"/>
  <c r="C202" i="55"/>
  <c r="AN206" i="55" s="1"/>
  <c r="I147" i="55" l="1"/>
  <c r="I158" i="55" s="1"/>
  <c r="H136" i="55"/>
  <c r="H147" i="55"/>
  <c r="H158" i="55" s="1"/>
  <c r="L158" i="55" s="1"/>
  <c r="J136" i="55"/>
  <c r="R136" i="55" s="1"/>
  <c r="I136" i="55"/>
  <c r="Q136" i="55" s="1"/>
  <c r="J147" i="55"/>
  <c r="J158" i="55" s="1"/>
  <c r="N158" i="55" s="1"/>
  <c r="K136" i="55"/>
  <c r="S136" i="55" s="1"/>
  <c r="K147" i="55"/>
  <c r="K158" i="55" s="1"/>
  <c r="O158" i="55" s="1"/>
  <c r="K114" i="55"/>
  <c r="K125" i="55" s="1"/>
  <c r="S125" i="55" s="1"/>
  <c r="H114" i="55"/>
  <c r="H125" i="55" s="1"/>
  <c r="I114" i="55"/>
  <c r="I125" i="55" s="1"/>
  <c r="J114" i="55"/>
  <c r="J125" i="55" s="1"/>
  <c r="R125" i="55" s="1"/>
  <c r="AM323" i="55"/>
  <c r="H232" i="55"/>
  <c r="P232" i="55" s="1"/>
  <c r="K210" i="55"/>
  <c r="K221" i="55" s="1"/>
  <c r="S221" i="55" s="1"/>
  <c r="H210" i="55"/>
  <c r="H221" i="55" s="1"/>
  <c r="P221" i="55" s="1"/>
  <c r="J243" i="55"/>
  <c r="J254" i="55" s="1"/>
  <c r="N254" i="55" s="1"/>
  <c r="J232" i="55"/>
  <c r="R232" i="55" s="1"/>
  <c r="J210" i="55"/>
  <c r="J221" i="55" s="1"/>
  <c r="R221" i="55" s="1"/>
  <c r="K243" i="55"/>
  <c r="K254" i="55" s="1"/>
  <c r="O254" i="55" s="1"/>
  <c r="H243" i="55"/>
  <c r="H254" i="55" s="1"/>
  <c r="L254" i="55" s="1"/>
  <c r="I243" i="55"/>
  <c r="I254" i="55" s="1"/>
  <c r="M254" i="55" s="1"/>
  <c r="K232" i="55"/>
  <c r="S232" i="55" s="1"/>
  <c r="I232" i="55"/>
  <c r="Q232" i="55" s="1"/>
  <c r="I210" i="55"/>
  <c r="I221" i="55" s="1"/>
  <c r="Q221" i="55" s="1"/>
  <c r="AI312" i="55"/>
  <c r="AI310" i="55"/>
  <c r="AH155" i="55"/>
  <c r="AH156" i="55"/>
  <c r="AH157" i="55"/>
  <c r="AH158" i="55"/>
  <c r="AH159" i="55"/>
  <c r="AH144" i="55"/>
  <c r="AH145" i="55"/>
  <c r="AH146" i="55"/>
  <c r="AH147" i="55"/>
  <c r="AH148" i="55"/>
  <c r="AH133" i="55"/>
  <c r="AH134" i="55"/>
  <c r="AH135" i="55"/>
  <c r="AH136" i="55"/>
  <c r="AH137" i="55"/>
  <c r="AH122" i="55"/>
  <c r="AH123" i="55"/>
  <c r="AH124" i="55"/>
  <c r="AH125" i="55"/>
  <c r="AH126" i="55"/>
  <c r="AH111" i="55"/>
  <c r="AH112" i="55"/>
  <c r="AH113" i="55"/>
  <c r="AH114" i="55"/>
  <c r="AH115" i="55"/>
  <c r="S133" i="55"/>
  <c r="S134" i="55"/>
  <c r="S135" i="55"/>
  <c r="S137" i="55"/>
  <c r="R133" i="55"/>
  <c r="R134" i="55"/>
  <c r="R135" i="55"/>
  <c r="R137" i="55"/>
  <c r="Q133" i="55"/>
  <c r="Q134" i="55"/>
  <c r="Q135" i="55"/>
  <c r="Q137" i="55"/>
  <c r="P133" i="55"/>
  <c r="P134" i="55"/>
  <c r="P135" i="55"/>
  <c r="P136" i="55"/>
  <c r="P137" i="55"/>
  <c r="O159" i="55"/>
  <c r="O157" i="55"/>
  <c r="O156" i="55"/>
  <c r="O155" i="55"/>
  <c r="N159" i="55"/>
  <c r="N157" i="55"/>
  <c r="N156" i="55"/>
  <c r="N155" i="55"/>
  <c r="M159" i="55"/>
  <c r="M158" i="55"/>
  <c r="M157" i="55"/>
  <c r="M156" i="55"/>
  <c r="M155" i="55"/>
  <c r="I138" i="55"/>
  <c r="I149" i="55" s="1"/>
  <c r="M149" i="55" s="1"/>
  <c r="L155" i="55"/>
  <c r="H138" i="55"/>
  <c r="H149" i="55" s="1"/>
  <c r="L149" i="55" s="1"/>
  <c r="P122" i="55"/>
  <c r="P123" i="55"/>
  <c r="P124" i="55"/>
  <c r="P125" i="55"/>
  <c r="P126" i="55"/>
  <c r="S126" i="55"/>
  <c r="S124" i="55"/>
  <c r="S123" i="55"/>
  <c r="S122" i="55"/>
  <c r="K116" i="55"/>
  <c r="R126" i="55"/>
  <c r="R124" i="55"/>
  <c r="R123" i="55"/>
  <c r="R122" i="55"/>
  <c r="J116" i="55"/>
  <c r="Q126" i="55"/>
  <c r="Q125" i="55"/>
  <c r="Q124" i="55"/>
  <c r="Q123" i="55"/>
  <c r="Q122" i="55"/>
  <c r="I116" i="55"/>
  <c r="K105" i="55"/>
  <c r="J105" i="55"/>
  <c r="AO170" i="55"/>
  <c r="AO169" i="55"/>
  <c r="AO168" i="55"/>
  <c r="AO167" i="55"/>
  <c r="AO166" i="55"/>
  <c r="AO165" i="55"/>
  <c r="AO164" i="55"/>
  <c r="AO115" i="55"/>
  <c r="AO116" i="55"/>
  <c r="AO117" i="55"/>
  <c r="AO118" i="55"/>
  <c r="AO119" i="55"/>
  <c r="AO120" i="55"/>
  <c r="AO126" i="55"/>
  <c r="AO127" i="55"/>
  <c r="AO128" i="55"/>
  <c r="AO129" i="55"/>
  <c r="AO130" i="55"/>
  <c r="AO131" i="55"/>
  <c r="AO137" i="55"/>
  <c r="AO138" i="55"/>
  <c r="AO139" i="55"/>
  <c r="AO140" i="55"/>
  <c r="AO141" i="55"/>
  <c r="AO142" i="55"/>
  <c r="AO153" i="55"/>
  <c r="AO159" i="55"/>
  <c r="AO160" i="55"/>
  <c r="AO161" i="55"/>
  <c r="AO162" i="55"/>
  <c r="AO163" i="55"/>
  <c r="C148" i="55"/>
  <c r="AN152" i="55" s="1"/>
  <c r="C147" i="55"/>
  <c r="AN151" i="55" s="1"/>
  <c r="C146" i="55"/>
  <c r="AN150" i="55" s="1"/>
  <c r="C145" i="55"/>
  <c r="AN149" i="55" s="1"/>
  <c r="C144" i="55"/>
  <c r="AN148" i="55" s="1"/>
  <c r="C159" i="55"/>
  <c r="AN163" i="55" s="1"/>
  <c r="C158" i="55"/>
  <c r="AN162" i="55" s="1"/>
  <c r="C157" i="55"/>
  <c r="AN161" i="55" s="1"/>
  <c r="C156" i="55"/>
  <c r="AN160" i="55" s="1"/>
  <c r="C155" i="55"/>
  <c r="AN159" i="55" s="1"/>
  <c r="C149" i="55"/>
  <c r="AN153" i="55" s="1"/>
  <c r="C138" i="55"/>
  <c r="AN142" i="55" s="1"/>
  <c r="C137" i="55"/>
  <c r="AN141" i="55" s="1"/>
  <c r="C136" i="55"/>
  <c r="AN140" i="55" s="1"/>
  <c r="C135" i="55"/>
  <c r="AN139" i="55" s="1"/>
  <c r="C134" i="55"/>
  <c r="AN138" i="55" s="1"/>
  <c r="C133" i="55"/>
  <c r="AN137" i="55" s="1"/>
  <c r="C127" i="55"/>
  <c r="AN131" i="55" s="1"/>
  <c r="C126" i="55"/>
  <c r="AN130" i="55" s="1"/>
  <c r="C125" i="55"/>
  <c r="AN129" i="55" s="1"/>
  <c r="C124" i="55"/>
  <c r="AN128" i="55" s="1"/>
  <c r="C123" i="55"/>
  <c r="AN127" i="55" s="1"/>
  <c r="C122" i="55"/>
  <c r="AN126" i="55" s="1"/>
  <c r="C116" i="55"/>
  <c r="AN120" i="55" s="1"/>
  <c r="C115" i="55"/>
  <c r="AN119" i="55" s="1"/>
  <c r="C114" i="55"/>
  <c r="AN118" i="55" s="1"/>
  <c r="C113" i="55"/>
  <c r="AN117" i="55" s="1"/>
  <c r="C112" i="55"/>
  <c r="AN116" i="55" s="1"/>
  <c r="C111" i="55"/>
  <c r="AN115" i="55" s="1"/>
  <c r="C105" i="55"/>
  <c r="H233" i="55" l="1"/>
  <c r="P233" i="55" s="1"/>
  <c r="K211" i="55"/>
  <c r="K222" i="55" s="1"/>
  <c r="S222" i="55" s="1"/>
  <c r="H211" i="55"/>
  <c r="H222" i="55" s="1"/>
  <c r="P222" i="55" s="1"/>
  <c r="J233" i="55"/>
  <c r="R233" i="55" s="1"/>
  <c r="I233" i="55"/>
  <c r="Q233" i="55" s="1"/>
  <c r="I211" i="55"/>
  <c r="I222" i="55" s="1"/>
  <c r="Q222" i="55" s="1"/>
  <c r="H244" i="55"/>
  <c r="H255" i="55" s="1"/>
  <c r="L255" i="55" s="1"/>
  <c r="J211" i="55"/>
  <c r="J222" i="55" s="1"/>
  <c r="R222" i="55" s="1"/>
  <c r="K233" i="55"/>
  <c r="S233" i="55" s="1"/>
  <c r="I244" i="55"/>
  <c r="I255" i="55" s="1"/>
  <c r="M255" i="55" s="1"/>
  <c r="J244" i="55"/>
  <c r="J255" i="55" s="1"/>
  <c r="N255" i="55" s="1"/>
  <c r="K244" i="55"/>
  <c r="K255" i="55" s="1"/>
  <c r="O255" i="55" s="1"/>
  <c r="AO44" i="55"/>
  <c r="AO45" i="55"/>
  <c r="AO46" i="55"/>
  <c r="AO47" i="55"/>
  <c r="AO48" i="55"/>
  <c r="AO49" i="55"/>
  <c r="AO55" i="55"/>
  <c r="AO56" i="55"/>
  <c r="AO57" i="55"/>
  <c r="AO58" i="55"/>
  <c r="AO59" i="55"/>
  <c r="Z63" i="55"/>
  <c r="Z62" i="55"/>
  <c r="Z61" i="55"/>
  <c r="Z60" i="55"/>
  <c r="Z59" i="55"/>
  <c r="Z53" i="55"/>
  <c r="Z52" i="55"/>
  <c r="Z51" i="55"/>
  <c r="Z50" i="55"/>
  <c r="Z49" i="55"/>
  <c r="Z48" i="55"/>
  <c r="Z42" i="55"/>
  <c r="AH59" i="55"/>
  <c r="AH60" i="55"/>
  <c r="AH61" i="55"/>
  <c r="AH62" i="55"/>
  <c r="AH63" i="55"/>
  <c r="AH48" i="55"/>
  <c r="AH49" i="55"/>
  <c r="AH50" i="55"/>
  <c r="AH51" i="55"/>
  <c r="AH52" i="55"/>
  <c r="AH42" i="55"/>
  <c r="C63" i="55"/>
  <c r="AN59" i="55" s="1"/>
  <c r="C62" i="55"/>
  <c r="AN58" i="55" s="1"/>
  <c r="C61" i="55"/>
  <c r="AN57" i="55" s="1"/>
  <c r="C60" i="55"/>
  <c r="AN56" i="55" s="1"/>
  <c r="C59" i="55"/>
  <c r="AN55" i="55" s="1"/>
  <c r="O60" i="55"/>
  <c r="O59" i="55"/>
  <c r="K53" i="55"/>
  <c r="O53" i="55" s="1"/>
  <c r="N60" i="55"/>
  <c r="N59" i="55"/>
  <c r="J53" i="55"/>
  <c r="N53" i="55" s="1"/>
  <c r="M60" i="55"/>
  <c r="M59" i="55"/>
  <c r="I53" i="55"/>
  <c r="M53" i="55" s="1"/>
  <c r="K42" i="55"/>
  <c r="J42" i="55"/>
  <c r="I42" i="55"/>
  <c r="H42" i="55"/>
  <c r="L60" i="55"/>
  <c r="L59" i="55"/>
  <c r="H53" i="55"/>
  <c r="L53" i="55" s="1"/>
  <c r="C53" i="55"/>
  <c r="AN49" i="55" s="1"/>
  <c r="C52" i="55"/>
  <c r="AN48" i="55" s="1"/>
  <c r="C51" i="55"/>
  <c r="AN47" i="55" s="1"/>
  <c r="C50" i="55"/>
  <c r="AN46" i="55" s="1"/>
  <c r="C49" i="55"/>
  <c r="AN45" i="55" s="1"/>
  <c r="C48" i="55"/>
  <c r="AN44" i="55" s="1"/>
  <c r="AO37" i="55" l="1"/>
  <c r="AH41" i="55"/>
  <c r="P41" i="55"/>
  <c r="Q41" i="55"/>
  <c r="R41" i="55"/>
  <c r="S41" i="55"/>
  <c r="C41" i="55"/>
  <c r="AN37" i="55" s="1"/>
  <c r="C40" i="55"/>
  <c r="AO26" i="55"/>
  <c r="AH30" i="55"/>
  <c r="C30" i="55"/>
  <c r="AN26" i="55" s="1"/>
  <c r="C29" i="55"/>
  <c r="AO35" i="55" l="1"/>
  <c r="AO36" i="55"/>
  <c r="AO33" i="55"/>
  <c r="AO34" i="55"/>
  <c r="AO22" i="55"/>
  <c r="AO23" i="55"/>
  <c r="AO24" i="55"/>
  <c r="AO25" i="55"/>
  <c r="AO27" i="55"/>
  <c r="AO16" i="55"/>
  <c r="AH37" i="55"/>
  <c r="AH38" i="55"/>
  <c r="AH39" i="55"/>
  <c r="AH40" i="55"/>
  <c r="R37" i="55"/>
  <c r="S37" i="55"/>
  <c r="R38" i="55"/>
  <c r="S38" i="55"/>
  <c r="R39" i="55"/>
  <c r="S39" i="55"/>
  <c r="R40" i="55"/>
  <c r="S40" i="55"/>
  <c r="K31" i="55"/>
  <c r="J31" i="55"/>
  <c r="Q37" i="55"/>
  <c r="Q38" i="55"/>
  <c r="Q39" i="55"/>
  <c r="Q40" i="55"/>
  <c r="I31" i="55"/>
  <c r="P37" i="55"/>
  <c r="P38" i="55"/>
  <c r="P39" i="55"/>
  <c r="P40" i="55"/>
  <c r="H31" i="55"/>
  <c r="AN36" i="55"/>
  <c r="C39" i="55"/>
  <c r="AN35" i="55" s="1"/>
  <c r="C38" i="55"/>
  <c r="AN34" i="55" s="1"/>
  <c r="C37" i="55"/>
  <c r="AN33" i="55" s="1"/>
  <c r="AN27" i="55"/>
  <c r="C26" i="55"/>
  <c r="AN22" i="55" s="1"/>
  <c r="AN16" i="55"/>
  <c r="AN25" i="55" l="1"/>
  <c r="AN24" i="55"/>
  <c r="C27" i="55"/>
  <c r="AN23" i="55" s="1"/>
  <c r="AH26" i="55" l="1"/>
  <c r="AH27" i="55"/>
  <c r="AH28" i="55"/>
  <c r="AH29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261" i="55" l="1"/>
  <c r="AE164" i="55"/>
  <c r="AE68" i="55"/>
  <c r="L19" i="56" l="1"/>
  <c r="I13" i="56"/>
  <c r="L13" i="56" s="1"/>
  <c r="L7" i="56"/>
  <c r="C171" i="55" l="1"/>
  <c r="AN170" i="55" s="1"/>
  <c r="C169" i="55"/>
  <c r="AN169" i="55" s="1"/>
  <c r="C168" i="55"/>
  <c r="AN168" i="55" s="1"/>
  <c r="AN167" i="55"/>
  <c r="C164" i="55"/>
  <c r="AN166" i="55" s="1"/>
  <c r="C162" i="55"/>
  <c r="AN165" i="55" s="1"/>
  <c r="C161" i="55"/>
  <c r="AN164" i="55" s="1"/>
  <c r="C104" i="55"/>
  <c r="C103" i="55"/>
  <c r="C101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194" i="55"/>
  <c r="C193" i="55"/>
  <c r="Z196" i="55"/>
  <c r="S196" i="55"/>
  <c r="R196" i="55"/>
  <c r="Q196" i="55"/>
  <c r="P196" i="55"/>
  <c r="Z195" i="55"/>
  <c r="S194" i="55"/>
  <c r="R194" i="55"/>
  <c r="Q194" i="55"/>
  <c r="P194" i="55"/>
  <c r="AH98" i="55" l="1"/>
  <c r="S97" i="55"/>
  <c r="R97" i="55"/>
  <c r="Q97" i="55"/>
  <c r="P97" i="55"/>
  <c r="Z99" i="55"/>
  <c r="Z98" i="55"/>
  <c r="Z190" i="55" l="1"/>
  <c r="Z189" i="55"/>
  <c r="Z93" i="55"/>
  <c r="Z92" i="55"/>
  <c r="Z12" i="55"/>
  <c r="Z11" i="55"/>
  <c r="AK261" i="55" l="1"/>
  <c r="AH194" i="55"/>
  <c r="AH193" i="55"/>
  <c r="AH87" i="55"/>
  <c r="AK164" i="55"/>
  <c r="AK68" i="55"/>
  <c r="AH162" i="55"/>
  <c r="AH97" i="55"/>
  <c r="AH96" i="55"/>
  <c r="AO200" i="55"/>
  <c r="AO199" i="55"/>
  <c r="AO102" i="55"/>
  <c r="AO103" i="55"/>
  <c r="I259" i="55" l="1"/>
  <c r="J259" i="55"/>
  <c r="K259" i="55"/>
  <c r="H259" i="55"/>
  <c r="H162" i="55"/>
  <c r="I258" i="55"/>
  <c r="J258" i="55"/>
  <c r="K258" i="55"/>
  <c r="H258" i="55"/>
  <c r="H161" i="55"/>
  <c r="P68" i="55"/>
  <c r="I162" i="55"/>
  <c r="J162" i="55"/>
  <c r="K162" i="55"/>
  <c r="H66" i="55"/>
  <c r="I66" i="55"/>
  <c r="J66" i="55"/>
  <c r="K66" i="55"/>
  <c r="H65" i="55"/>
  <c r="I65" i="55"/>
  <c r="J65" i="55"/>
  <c r="K65" i="55"/>
  <c r="Q6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268" i="55"/>
  <c r="AH266" i="55"/>
  <c r="AH265" i="55"/>
  <c r="AH263" i="55"/>
  <c r="AH261" i="55"/>
  <c r="AH259" i="55"/>
  <c r="AH258" i="55"/>
  <c r="AH246" i="55"/>
  <c r="AH235" i="55"/>
  <c r="AH224" i="55"/>
  <c r="AH213" i="55"/>
  <c r="AH202" i="55"/>
  <c r="AH201" i="55"/>
  <c r="AH200" i="55"/>
  <c r="AH198" i="55"/>
  <c r="AH196" i="55"/>
  <c r="AH195" i="55"/>
  <c r="AH192" i="55"/>
  <c r="AH191" i="55"/>
  <c r="AH190" i="55"/>
  <c r="AH189" i="55"/>
  <c r="AH188" i="55"/>
  <c r="AH187" i="55"/>
  <c r="AH186" i="55"/>
  <c r="AH185" i="55"/>
  <c r="AH184" i="55"/>
  <c r="AH183" i="55"/>
  <c r="AH182" i="55"/>
  <c r="AH181" i="55"/>
  <c r="AH171" i="55"/>
  <c r="AH169" i="55"/>
  <c r="AH168" i="55"/>
  <c r="AH166" i="55"/>
  <c r="AH164" i="55"/>
  <c r="AH161" i="55"/>
  <c r="AH149" i="55"/>
  <c r="AH138" i="55"/>
  <c r="AH127" i="55"/>
  <c r="AH116" i="55"/>
  <c r="AH105" i="55"/>
  <c r="AH104" i="55"/>
  <c r="AH103" i="55"/>
  <c r="AH101" i="55"/>
  <c r="AH99" i="55"/>
  <c r="AH95" i="55"/>
  <c r="AH94" i="55"/>
  <c r="AH93" i="55"/>
  <c r="AH92" i="55"/>
  <c r="AH91" i="55"/>
  <c r="AH90" i="55"/>
  <c r="AH89" i="55"/>
  <c r="AH88" i="55"/>
  <c r="AH86" i="55"/>
  <c r="AH85" i="55"/>
  <c r="AH84" i="55"/>
  <c r="AH76" i="55"/>
  <c r="AH75" i="55"/>
  <c r="AH73" i="55"/>
  <c r="AH72" i="55"/>
  <c r="AH70" i="55"/>
  <c r="AH68" i="55"/>
  <c r="AH66" i="55"/>
  <c r="AH65" i="55"/>
  <c r="AH53" i="55"/>
  <c r="AH31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91" i="55" l="1"/>
  <c r="X191" i="55"/>
  <c r="W191" i="55"/>
  <c r="Y94" i="55"/>
  <c r="X94" i="55"/>
  <c r="W94" i="55"/>
  <c r="Y187" i="55"/>
  <c r="X187" i="55"/>
  <c r="W187" i="55"/>
  <c r="W185" i="55"/>
  <c r="W189" i="55" s="1"/>
  <c r="X185" i="55"/>
  <c r="X189" i="55" s="1"/>
  <c r="Y185" i="55"/>
  <c r="Y189" i="55" s="1"/>
  <c r="V185" i="55"/>
  <c r="V189" i="55" s="1"/>
  <c r="Y202" i="55"/>
  <c r="W202" i="55"/>
  <c r="X202" i="55" s="1"/>
  <c r="Y90" i="55"/>
  <c r="X90" i="55"/>
  <c r="W90" i="55"/>
  <c r="W88" i="55"/>
  <c r="X88" i="55"/>
  <c r="Y88" i="55"/>
  <c r="V88" i="55"/>
  <c r="Z86" i="55"/>
  <c r="Z87" i="55"/>
  <c r="Y92" i="55" l="1"/>
  <c r="W92" i="55"/>
  <c r="V92" i="55"/>
  <c r="X92" i="55"/>
  <c r="W84" i="55"/>
  <c r="W98" i="55" s="1"/>
  <c r="W181" i="55"/>
  <c r="W195" i="55" s="1"/>
  <c r="V181" i="55"/>
  <c r="V195" i="55" s="1"/>
  <c r="X181" i="55"/>
  <c r="X195" i="55" s="1"/>
  <c r="Y181" i="55"/>
  <c r="Y195" i="55" s="1"/>
  <c r="V84" i="55"/>
  <c r="V98" i="55" s="1"/>
  <c r="Y84" i="55"/>
  <c r="Y98" i="55" s="1"/>
  <c r="X84" i="55"/>
  <c r="X98" i="55" s="1"/>
  <c r="Y13" i="55"/>
  <c r="X13" i="55"/>
  <c r="W9" i="55" l="1"/>
  <c r="W7" i="55" s="1"/>
  <c r="X9" i="55"/>
  <c r="X7" i="55" s="1"/>
  <c r="Y9" i="55"/>
  <c r="Y7" i="55" s="1"/>
  <c r="Z268" i="55" l="1"/>
  <c r="Z171" i="55"/>
  <c r="Z266" i="55"/>
  <c r="Z265" i="55"/>
  <c r="Z168" i="55"/>
  <c r="Z263" i="55"/>
  <c r="Z166" i="55"/>
  <c r="Z261" i="55"/>
  <c r="Z164" i="55"/>
  <c r="Z259" i="55"/>
  <c r="Z258" i="55"/>
  <c r="Z161" i="55"/>
  <c r="Z201" i="55"/>
  <c r="Z200" i="55"/>
  <c r="Z103" i="55"/>
  <c r="Z198" i="55"/>
  <c r="Z101" i="55"/>
  <c r="Z188" i="55"/>
  <c r="Z184" i="55"/>
  <c r="Z183" i="55"/>
  <c r="S259" i="55"/>
  <c r="R258" i="55"/>
  <c r="AO187" i="55"/>
  <c r="P182" i="55"/>
  <c r="Q182" i="55"/>
  <c r="R182" i="55"/>
  <c r="S182" i="55"/>
  <c r="AO188" i="55"/>
  <c r="P183" i="55"/>
  <c r="Q183" i="55"/>
  <c r="R183" i="55"/>
  <c r="S183" i="55"/>
  <c r="AO189" i="55"/>
  <c r="P184" i="55"/>
  <c r="Q184" i="55"/>
  <c r="R184" i="55"/>
  <c r="S184" i="55"/>
  <c r="AO190" i="55"/>
  <c r="Q258" i="55"/>
  <c r="S258" i="55"/>
  <c r="P259" i="55"/>
  <c r="C268" i="55"/>
  <c r="AN267" i="55" s="1"/>
  <c r="C266" i="55"/>
  <c r="AN266" i="55" s="1"/>
  <c r="C265" i="55"/>
  <c r="AN265" i="55" s="1"/>
  <c r="AN264" i="55"/>
  <c r="C261" i="55"/>
  <c r="AN263" i="55" s="1"/>
  <c r="C259" i="55"/>
  <c r="AN262" i="55" s="1"/>
  <c r="C258" i="55"/>
  <c r="AN261" i="55" s="1"/>
  <c r="C201" i="55"/>
  <c r="AN205" i="55" s="1"/>
  <c r="C200" i="55"/>
  <c r="AN204" i="55" s="1"/>
  <c r="C198" i="55"/>
  <c r="AN203" i="55" s="1"/>
  <c r="C192" i="55"/>
  <c r="AN198" i="55" s="1"/>
  <c r="C191" i="55"/>
  <c r="AN197" i="55" s="1"/>
  <c r="C190" i="55"/>
  <c r="AN196" i="55" s="1"/>
  <c r="C189" i="55"/>
  <c r="AN195" i="55" s="1"/>
  <c r="C188" i="55"/>
  <c r="AN194" i="55" s="1"/>
  <c r="C187" i="55"/>
  <c r="AN193" i="55" s="1"/>
  <c r="C186" i="55"/>
  <c r="AN192" i="55" s="1"/>
  <c r="C185" i="55"/>
  <c r="AN191" i="55" s="1"/>
  <c r="C184" i="55"/>
  <c r="AN190" i="55" s="1"/>
  <c r="C183" i="55"/>
  <c r="AN189" i="55" s="1"/>
  <c r="C182" i="55"/>
  <c r="AN188" i="55" s="1"/>
  <c r="C181" i="55"/>
  <c r="AN187" i="55" s="1"/>
  <c r="S261" i="55"/>
  <c r="R261" i="55"/>
  <c r="Q261" i="55"/>
  <c r="P261" i="55"/>
  <c r="R259" i="55"/>
  <c r="Q259" i="55"/>
  <c r="P258" i="55"/>
  <c r="P224" i="55"/>
  <c r="P213" i="55"/>
  <c r="AO205" i="55"/>
  <c r="AO204" i="55"/>
  <c r="AO203" i="55"/>
  <c r="AO202" i="55"/>
  <c r="AN202" i="55"/>
  <c r="AO201" i="55"/>
  <c r="AN201" i="55"/>
  <c r="AO198" i="55"/>
  <c r="S192" i="55"/>
  <c r="R192" i="55"/>
  <c r="Q192" i="55"/>
  <c r="P192" i="55"/>
  <c r="AO197" i="55"/>
  <c r="AO196" i="55"/>
  <c r="S190" i="55"/>
  <c r="R190" i="55"/>
  <c r="Q190" i="55"/>
  <c r="P190" i="55"/>
  <c r="AO195" i="55"/>
  <c r="AO194" i="55"/>
  <c r="S188" i="55"/>
  <c r="R188" i="55"/>
  <c r="Q188" i="55"/>
  <c r="P188" i="55"/>
  <c r="AO193" i="55"/>
  <c r="S187" i="55"/>
  <c r="R187" i="55"/>
  <c r="Q187" i="55"/>
  <c r="P187" i="55"/>
  <c r="AO192" i="55"/>
  <c r="S186" i="55"/>
  <c r="R186" i="55"/>
  <c r="Q186" i="55"/>
  <c r="P186" i="55"/>
  <c r="AO191" i="55"/>
  <c r="Z75" i="55"/>
  <c r="N171" i="55"/>
  <c r="O171" i="55"/>
  <c r="M171" i="55"/>
  <c r="M75" i="55"/>
  <c r="Z72" i="55"/>
  <c r="Z169" i="55"/>
  <c r="Z73" i="55"/>
  <c r="Z70" i="55"/>
  <c r="Z68" i="55"/>
  <c r="Z162" i="55"/>
  <c r="Z65" i="55"/>
  <c r="N149" i="55"/>
  <c r="O149" i="55"/>
  <c r="J104" i="55"/>
  <c r="N104" i="55" s="1"/>
  <c r="K104" i="55"/>
  <c r="O104" i="55" s="1"/>
  <c r="I104" i="55"/>
  <c r="M104" i="55" s="1"/>
  <c r="J103" i="55"/>
  <c r="K103" i="55"/>
  <c r="I103" i="55"/>
  <c r="Z104" i="55"/>
  <c r="Z18" i="55"/>
  <c r="Z16" i="55"/>
  <c r="Z91" i="55" l="1"/>
  <c r="AN104" i="55"/>
  <c r="AO104" i="55"/>
  <c r="AN105" i="55"/>
  <c r="AO105" i="55"/>
  <c r="P99" i="55"/>
  <c r="Q99" i="55"/>
  <c r="R99" i="55"/>
  <c r="S99" i="55"/>
  <c r="AO67" i="55"/>
  <c r="C76" i="55"/>
  <c r="AN67" i="55" s="1"/>
  <c r="Z76" i="55"/>
  <c r="W76" i="55"/>
  <c r="X76" i="55"/>
  <c r="Y76" i="55"/>
  <c r="V76" i="55"/>
  <c r="N76" i="55"/>
  <c r="O76" i="55"/>
  <c r="M76" i="55"/>
  <c r="N75" i="55"/>
  <c r="O75" i="55"/>
  <c r="Z66" i="55"/>
  <c r="Z19" i="55"/>
  <c r="I19" i="55"/>
  <c r="M19" i="55" s="1"/>
  <c r="J19" i="55"/>
  <c r="N19" i="55" s="1"/>
  <c r="K19" i="55"/>
  <c r="O19" i="55" s="1"/>
  <c r="K18" i="55"/>
  <c r="J18" i="55"/>
  <c r="V288" i="55"/>
  <c r="U288" i="55" s="1"/>
  <c r="U287" i="55"/>
  <c r="U289" i="55"/>
  <c r="U290" i="55"/>
  <c r="U291" i="55"/>
  <c r="U286" i="55"/>
  <c r="Y93" i="55" l="1"/>
  <c r="V93" i="55"/>
  <c r="W93" i="55"/>
  <c r="X93" i="55"/>
  <c r="V65" i="55"/>
  <c r="V96" i="55"/>
  <c r="W96" i="55"/>
  <c r="X96" i="55"/>
  <c r="Y96" i="55"/>
  <c r="X97" i="55"/>
  <c r="Y97" i="55"/>
  <c r="V97" i="55"/>
  <c r="V86" i="55"/>
  <c r="W97" i="55"/>
  <c r="V89" i="55"/>
  <c r="W194" i="55"/>
  <c r="X194" i="55"/>
  <c r="Y194" i="55"/>
  <c r="V194" i="55"/>
  <c r="V193" i="55"/>
  <c r="W193" i="55"/>
  <c r="X193" i="55"/>
  <c r="Y193" i="55"/>
  <c r="V192" i="55"/>
  <c r="X86" i="55"/>
  <c r="Y86" i="55"/>
  <c r="X87" i="55"/>
  <c r="X89" i="55"/>
  <c r="V87" i="55"/>
  <c r="W87" i="55"/>
  <c r="X95" i="55"/>
  <c r="Y95" i="55"/>
  <c r="V91" i="55"/>
  <c r="Y87" i="55"/>
  <c r="V95" i="55"/>
  <c r="W86" i="55"/>
  <c r="W89" i="55"/>
  <c r="Y89" i="55"/>
  <c r="X192" i="55"/>
  <c r="W95" i="55"/>
  <c r="W192" i="55"/>
  <c r="Y192" i="55"/>
  <c r="V10" i="55"/>
  <c r="Y10" i="55"/>
  <c r="X10" i="55"/>
  <c r="W10" i="55"/>
  <c r="W186" i="55"/>
  <c r="W190" i="55" s="1"/>
  <c r="X186" i="55"/>
  <c r="X190" i="55" s="1"/>
  <c r="Y186" i="55"/>
  <c r="Y190" i="55" s="1"/>
  <c r="V186" i="55"/>
  <c r="V190" i="55" s="1"/>
  <c r="V200" i="55"/>
  <c r="W200" i="55"/>
  <c r="X200" i="55"/>
  <c r="Y200" i="55"/>
  <c r="Y258" i="55"/>
  <c r="V201" i="55"/>
  <c r="X184" i="55"/>
  <c r="W183" i="55"/>
  <c r="W259" i="55"/>
  <c r="Y184" i="55"/>
  <c r="X183" i="55"/>
  <c r="X259" i="55"/>
  <c r="V184" i="55"/>
  <c r="Y183" i="55"/>
  <c r="Y188" i="55"/>
  <c r="Y259" i="55"/>
  <c r="V183" i="55"/>
  <c r="V259" i="55"/>
  <c r="V188" i="55"/>
  <c r="W188" i="55"/>
  <c r="W201" i="55"/>
  <c r="X188" i="55"/>
  <c r="W258" i="55"/>
  <c r="V258" i="55"/>
  <c r="X201" i="55"/>
  <c r="X258" i="55"/>
  <c r="Y201" i="55"/>
  <c r="W184" i="55"/>
  <c r="V162" i="55"/>
  <c r="V161" i="55"/>
  <c r="V103" i="55"/>
  <c r="W91" i="55"/>
  <c r="X91" i="55"/>
  <c r="V66" i="55"/>
  <c r="V19" i="55"/>
  <c r="V18" i="55"/>
  <c r="V104" i="55"/>
  <c r="W161" i="55"/>
  <c r="X161" i="55"/>
  <c r="Y161" i="55"/>
  <c r="W162" i="55"/>
  <c r="X162" i="55"/>
  <c r="W104" i="55"/>
  <c r="Y162" i="55"/>
  <c r="X104" i="55"/>
  <c r="Y104" i="55"/>
  <c r="W103" i="55"/>
  <c r="X103" i="55"/>
  <c r="Y103" i="55"/>
  <c r="Y91" i="55"/>
  <c r="V285" i="55"/>
  <c r="W65" i="55"/>
  <c r="X19" i="55"/>
  <c r="W19" i="55"/>
  <c r="Y66" i="55"/>
  <c r="Y19" i="55"/>
  <c r="Y18" i="55"/>
  <c r="X66" i="55"/>
  <c r="X18" i="55"/>
  <c r="Y65" i="55"/>
  <c r="W66" i="55"/>
  <c r="W18" i="55"/>
  <c r="X65" i="55"/>
  <c r="V14" i="55"/>
  <c r="W14" i="55"/>
  <c r="Y14" i="55"/>
  <c r="X14" i="55"/>
  <c r="Y261" i="55" l="1"/>
  <c r="V8" i="55"/>
  <c r="V12" i="55"/>
  <c r="W8" i="55"/>
  <c r="W12" i="55"/>
  <c r="Y164" i="55"/>
  <c r="X8" i="55"/>
  <c r="X12" i="55"/>
  <c r="Y8" i="55"/>
  <c r="Y12" i="55"/>
  <c r="W261" i="55"/>
  <c r="V164" i="55"/>
  <c r="W164" i="55"/>
  <c r="V261" i="55"/>
  <c r="X164" i="55"/>
  <c r="X261" i="55"/>
  <c r="X85" i="55"/>
  <c r="X99" i="55" s="1"/>
  <c r="V182" i="55"/>
  <c r="V196" i="55" s="1"/>
  <c r="Y182" i="55"/>
  <c r="Y196" i="55" s="1"/>
  <c r="X182" i="55"/>
  <c r="X196" i="55" s="1"/>
  <c r="Y85" i="55"/>
  <c r="Y99" i="55" s="1"/>
  <c r="W85" i="55"/>
  <c r="W99" i="55" s="1"/>
  <c r="W182" i="55"/>
  <c r="W196" i="55" s="1"/>
  <c r="V85" i="55"/>
  <c r="V99" i="55" s="1"/>
  <c r="V284" i="55"/>
  <c r="U285" i="55"/>
  <c r="W268" i="55" l="1"/>
  <c r="X268" i="55"/>
  <c r="Y268" i="55"/>
  <c r="V268" i="55"/>
  <c r="U284" i="55"/>
  <c r="V283" i="55"/>
  <c r="Y59" i="55" l="1"/>
  <c r="V68" i="55"/>
  <c r="W60" i="55"/>
  <c r="W68" i="55"/>
  <c r="X60" i="55"/>
  <c r="X68" i="55"/>
  <c r="X53" i="55"/>
  <c r="Y60" i="55"/>
  <c r="Y68" i="55"/>
  <c r="W59" i="55"/>
  <c r="V59" i="55"/>
  <c r="V60" i="55"/>
  <c r="W53" i="55"/>
  <c r="X59" i="55"/>
  <c r="Y53" i="55"/>
  <c r="V61" i="55"/>
  <c r="W61" i="55"/>
  <c r="Y61" i="55"/>
  <c r="X61" i="55"/>
  <c r="V63" i="55"/>
  <c r="W63" i="55"/>
  <c r="Y63" i="55"/>
  <c r="X63" i="55"/>
  <c r="V62" i="55"/>
  <c r="Y62" i="55"/>
  <c r="X62" i="55"/>
  <c r="W62" i="55"/>
  <c r="V171" i="55"/>
  <c r="W171" i="55"/>
  <c r="Y171" i="55"/>
  <c r="X171" i="55"/>
  <c r="V282" i="55"/>
  <c r="U282" i="55" s="1"/>
  <c r="U283" i="55"/>
  <c r="W211" i="55" l="1"/>
  <c r="W114" i="55"/>
  <c r="W147" i="55"/>
  <c r="W125" i="55"/>
  <c r="W244" i="55"/>
  <c r="W233" i="55"/>
  <c r="W158" i="55"/>
  <c r="W222" i="55"/>
  <c r="W255" i="55"/>
  <c r="W136" i="55"/>
  <c r="V230" i="55"/>
  <c r="V241" i="55"/>
  <c r="V219" i="55"/>
  <c r="V133" i="55"/>
  <c r="V155" i="55"/>
  <c r="V144" i="55"/>
  <c r="V252" i="55"/>
  <c r="V114" i="55"/>
  <c r="V211" i="55"/>
  <c r="V147" i="55"/>
  <c r="V222" i="55"/>
  <c r="V158" i="55"/>
  <c r="V244" i="55"/>
  <c r="V233" i="55"/>
  <c r="V125" i="55"/>
  <c r="V136" i="55"/>
  <c r="V255" i="55"/>
  <c r="X210" i="55"/>
  <c r="X113" i="55"/>
  <c r="X124" i="55"/>
  <c r="X232" i="55"/>
  <c r="X135" i="55"/>
  <c r="X221" i="55"/>
  <c r="X146" i="55"/>
  <c r="X157" i="55"/>
  <c r="X254" i="55"/>
  <c r="X243" i="55"/>
  <c r="W209" i="55"/>
  <c r="W112" i="55"/>
  <c r="W231" i="55"/>
  <c r="W123" i="55"/>
  <c r="W145" i="55"/>
  <c r="W134" i="55"/>
  <c r="W156" i="55"/>
  <c r="W253" i="55"/>
  <c r="W242" i="55"/>
  <c r="W220" i="55"/>
  <c r="Y114" i="55"/>
  <c r="Y211" i="55"/>
  <c r="Y125" i="55"/>
  <c r="Y158" i="55"/>
  <c r="Y255" i="55"/>
  <c r="Y233" i="55"/>
  <c r="Y222" i="55"/>
  <c r="Y244" i="55"/>
  <c r="Y147" i="55"/>
  <c r="Y136" i="55"/>
  <c r="X208" i="55"/>
  <c r="X111" i="55"/>
  <c r="X219" i="55"/>
  <c r="X144" i="55"/>
  <c r="X252" i="55"/>
  <c r="X241" i="55"/>
  <c r="X155" i="55"/>
  <c r="X133" i="55"/>
  <c r="X230" i="55"/>
  <c r="X122" i="55"/>
  <c r="Y212" i="55"/>
  <c r="Y115" i="55"/>
  <c r="Y234" i="55"/>
  <c r="Y159" i="55"/>
  <c r="Y148" i="55"/>
  <c r="Y256" i="55"/>
  <c r="Y245" i="55"/>
  <c r="Y137" i="55"/>
  <c r="Y223" i="55"/>
  <c r="Y126" i="55"/>
  <c r="V209" i="55"/>
  <c r="V112" i="55"/>
  <c r="V242" i="55"/>
  <c r="V134" i="55"/>
  <c r="V220" i="55"/>
  <c r="V231" i="55"/>
  <c r="V145" i="55"/>
  <c r="V123" i="55"/>
  <c r="V253" i="55"/>
  <c r="V156" i="55"/>
  <c r="X115" i="55"/>
  <c r="X212" i="55"/>
  <c r="X245" i="55"/>
  <c r="X159" i="55"/>
  <c r="X148" i="55"/>
  <c r="X223" i="55"/>
  <c r="X234" i="55"/>
  <c r="X256" i="55"/>
  <c r="X126" i="55"/>
  <c r="X137" i="55"/>
  <c r="V210" i="55"/>
  <c r="V113" i="55"/>
  <c r="V254" i="55"/>
  <c r="V232" i="55"/>
  <c r="V157" i="55"/>
  <c r="V124" i="55"/>
  <c r="V221" i="55"/>
  <c r="V146" i="55"/>
  <c r="V243" i="55"/>
  <c r="V135" i="55"/>
  <c r="W212" i="55"/>
  <c r="W115" i="55"/>
  <c r="W159" i="55"/>
  <c r="W234" i="55"/>
  <c r="W223" i="55"/>
  <c r="W256" i="55"/>
  <c r="W245" i="55"/>
  <c r="W137" i="55"/>
  <c r="W126" i="55"/>
  <c r="W148" i="55"/>
  <c r="Y111" i="55"/>
  <c r="Y208" i="55"/>
  <c r="Y133" i="55"/>
  <c r="Y219" i="55"/>
  <c r="Y144" i="55"/>
  <c r="Y241" i="55"/>
  <c r="Y122" i="55"/>
  <c r="Y252" i="55"/>
  <c r="Y155" i="55"/>
  <c r="Y230" i="55"/>
  <c r="V212" i="55"/>
  <c r="V115" i="55"/>
  <c r="V234" i="55"/>
  <c r="V223" i="55"/>
  <c r="V148" i="55"/>
  <c r="V159" i="55"/>
  <c r="V245" i="55"/>
  <c r="V256" i="55"/>
  <c r="V137" i="55"/>
  <c r="V126" i="55"/>
  <c r="Y209" i="55"/>
  <c r="Y112" i="55"/>
  <c r="Y156" i="55"/>
  <c r="Y242" i="55"/>
  <c r="Y220" i="55"/>
  <c r="Y253" i="55"/>
  <c r="Y145" i="55"/>
  <c r="Y134" i="55"/>
  <c r="Y123" i="55"/>
  <c r="Y231" i="55"/>
  <c r="W111" i="55"/>
  <c r="W208" i="55"/>
  <c r="W241" i="55"/>
  <c r="W144" i="55"/>
  <c r="W219" i="55"/>
  <c r="W133" i="55"/>
  <c r="W252" i="55"/>
  <c r="W230" i="55"/>
  <c r="W122" i="55"/>
  <c r="W155" i="55"/>
  <c r="Y113" i="55"/>
  <c r="Y210" i="55"/>
  <c r="Y254" i="55"/>
  <c r="Y124" i="55"/>
  <c r="Y232" i="55"/>
  <c r="Y243" i="55"/>
  <c r="Y135" i="55"/>
  <c r="Y221" i="55"/>
  <c r="Y146" i="55"/>
  <c r="Y157" i="55"/>
  <c r="X211" i="55"/>
  <c r="X114" i="55"/>
  <c r="X233" i="55"/>
  <c r="X158" i="55"/>
  <c r="X125" i="55"/>
  <c r="X147" i="55"/>
  <c r="X255" i="55"/>
  <c r="X222" i="55"/>
  <c r="X136" i="55"/>
  <c r="X244" i="55"/>
  <c r="W210" i="55"/>
  <c r="W113" i="55"/>
  <c r="W221" i="55"/>
  <c r="W157" i="55"/>
  <c r="W146" i="55"/>
  <c r="W254" i="55"/>
  <c r="W135" i="55"/>
  <c r="W243" i="55"/>
  <c r="W232" i="55"/>
  <c r="W124" i="55"/>
  <c r="X209" i="55"/>
  <c r="X112" i="55"/>
  <c r="X253" i="55"/>
  <c r="X220" i="55"/>
  <c r="X231" i="55"/>
  <c r="X145" i="55"/>
  <c r="X156" i="55"/>
  <c r="X123" i="55"/>
  <c r="X134" i="55"/>
  <c r="X242" i="55"/>
  <c r="Q288" i="55"/>
  <c r="P288" i="55"/>
  <c r="P289" i="55"/>
  <c r="Q289" i="55"/>
  <c r="P290" i="55"/>
  <c r="Q290" i="55"/>
  <c r="P291" i="55"/>
  <c r="Q29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68" i="55"/>
  <c r="C66" i="55"/>
  <c r="C65" i="55"/>
  <c r="C14" i="55"/>
  <c r="C12" i="55"/>
  <c r="C10" i="55"/>
  <c r="C8" i="55"/>
  <c r="W3" i="60" l="1"/>
  <c r="AB3" i="60" s="1"/>
  <c r="AD3" i="60"/>
  <c r="S3" i="60"/>
  <c r="X3" i="60" s="1"/>
  <c r="AT3" i="60"/>
  <c r="AF3" i="60"/>
  <c r="C75" i="55"/>
  <c r="C73" i="55"/>
  <c r="C7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64" i="55"/>
  <c r="R164" i="55"/>
  <c r="Q164" i="55"/>
  <c r="P164" i="55"/>
  <c r="S162" i="55"/>
  <c r="R162" i="55"/>
  <c r="Q162" i="55"/>
  <c r="P162" i="55"/>
  <c r="S161" i="55"/>
  <c r="R161" i="55"/>
  <c r="Q161" i="55"/>
  <c r="P161" i="55"/>
  <c r="S127" i="55"/>
  <c r="R127" i="55"/>
  <c r="Q127" i="55"/>
  <c r="P127" i="55"/>
  <c r="S116" i="55"/>
  <c r="R116" i="55"/>
  <c r="Q116" i="55"/>
  <c r="P116" i="55"/>
  <c r="S95" i="55"/>
  <c r="R95" i="55"/>
  <c r="Q95" i="55"/>
  <c r="P95" i="55"/>
  <c r="S93" i="55"/>
  <c r="R93" i="55"/>
  <c r="Q93" i="55"/>
  <c r="P93" i="55"/>
  <c r="S91" i="55"/>
  <c r="R91" i="55"/>
  <c r="Q91" i="55"/>
  <c r="P91" i="55"/>
  <c r="S90" i="55"/>
  <c r="R90" i="55"/>
  <c r="Q90" i="55"/>
  <c r="P90" i="55"/>
  <c r="S89" i="55"/>
  <c r="R89" i="55"/>
  <c r="Q89" i="55"/>
  <c r="P89" i="55"/>
  <c r="S87" i="55"/>
  <c r="R87" i="55"/>
  <c r="Q87" i="55"/>
  <c r="P87" i="55"/>
  <c r="S86" i="55"/>
  <c r="R86" i="55"/>
  <c r="Q86" i="55"/>
  <c r="P86" i="55"/>
  <c r="S85" i="55"/>
  <c r="R85" i="55"/>
  <c r="Q85" i="55"/>
  <c r="P85" i="55"/>
  <c r="Q31" i="55"/>
  <c r="R31" i="55"/>
  <c r="S31" i="55"/>
  <c r="P31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109" i="55"/>
  <c r="AO108" i="55"/>
  <c r="AO107" i="55"/>
  <c r="AO106" i="55"/>
  <c r="AO101" i="55"/>
  <c r="AO100" i="55"/>
  <c r="AO99" i="55"/>
  <c r="AO98" i="55"/>
  <c r="AO97" i="55"/>
  <c r="AO96" i="55"/>
  <c r="AO95" i="55"/>
  <c r="AO94" i="55"/>
  <c r="AO93" i="55"/>
  <c r="AO92" i="55"/>
  <c r="AO91" i="55"/>
  <c r="AO90" i="55"/>
  <c r="AO6" i="55"/>
  <c r="AO7" i="55"/>
  <c r="AO8" i="55"/>
  <c r="AO9" i="55"/>
  <c r="AO10" i="55"/>
  <c r="AO11" i="55"/>
  <c r="AO12" i="55"/>
  <c r="AO13" i="55"/>
  <c r="AO14" i="55"/>
  <c r="AO15" i="55"/>
  <c r="AO38" i="55"/>
  <c r="AO60" i="55"/>
  <c r="AO61" i="55"/>
  <c r="AO62" i="55"/>
  <c r="AO63" i="55"/>
  <c r="AO64" i="55"/>
  <c r="AO65" i="55"/>
  <c r="AO66" i="55"/>
  <c r="AO5" i="55"/>
  <c r="AN109" i="55"/>
  <c r="AN108" i="55"/>
  <c r="AN107" i="55"/>
  <c r="AN106" i="55"/>
  <c r="AN101" i="55"/>
  <c r="AN100" i="55"/>
  <c r="AN99" i="55"/>
  <c r="AN98" i="55"/>
  <c r="AN97" i="55"/>
  <c r="AN96" i="55"/>
  <c r="AN95" i="55"/>
  <c r="AN94" i="55"/>
  <c r="AN93" i="55"/>
  <c r="AN92" i="55"/>
  <c r="AN91" i="55"/>
  <c r="AN90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68" i="55"/>
  <c r="S68" i="55"/>
  <c r="AN62" i="55" l="1"/>
  <c r="AN66" i="55"/>
  <c r="AN65" i="55"/>
  <c r="AN64" i="55"/>
  <c r="AN63" i="55" l="1"/>
  <c r="AN61" i="55"/>
  <c r="S66" i="55"/>
  <c r="R66" i="55"/>
  <c r="Q66" i="55"/>
  <c r="P66" i="55"/>
  <c r="AN60" i="55"/>
  <c r="S65" i="55"/>
  <c r="R65" i="55"/>
  <c r="Q65" i="55"/>
  <c r="P65" i="55"/>
  <c r="AN3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53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6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6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6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7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7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7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8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8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0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1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64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64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66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6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8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8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8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3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200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5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6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6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26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26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<sst xmlns="http://schemas.openxmlformats.org/spreadsheetml/2006/main" count="19579" uniqueCount="800">
  <si>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</si>
  <si>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</si>
  <si>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</si>
  <si>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</si>
  <si>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</si>
  <si>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</si>
  <si>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</si>
  <si>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</si>
  <si>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</si>
  <si>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</si>
  <si>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</si>
  <si>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</si>
  <si>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</si>
  <si>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</si>
  <si>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</si>
  <si>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</si>
  <si>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</si>
  <si>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</si>
  <si>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</si>
  <si>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</si>
  <si>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</si>
  <si>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</si>
  <si>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</si>
  <si>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</si>
  <si>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</si>
  <si>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</si>
  <si>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</si>
  <si>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</si>
  <si>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</si>
  <si>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</si>
  <si>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</si>
  <si>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</si>
  <si>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</si>
  <si>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</si>
  <si>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</si>
  <si>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</si>
  <si>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</si>
  <si>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</si>
  <si>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</si>
  <si>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</si>
  <si>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</si>
  <si>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</si>
  <si>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</si>
  <si>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</si>
  <si>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</si>
  <si>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</si>
  <si>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</si>
  <si>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</si>
  <si>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</si>
  <si>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</si>
  <si>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</si>
  <si>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</si>
  <si>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</si>
  <si>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</si>
  <si>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</si>
  <si>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</si>
  <si>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</si>
  <si>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</si>
  <si>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</si>
  <si>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</si>
  <si>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</si>
  <si>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</si>
  <si>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</si>
  <si>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</si>
  <si>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</si>
  <si>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</si>
  <si>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</si>
  <si>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</si>
  <si>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</si>
  <si>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</si>
  <si>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</si>
  <si>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</si>
  <si>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</si>
  <si>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</si>
  <si>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</si>
  <si>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</si>
  <si>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</si>
  <si>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</si>
  <si>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</si>
  <si>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</si>
  <si>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</si>
  <si>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</si>
  <si>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</si>
  <si>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</si>
  <si>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</si>
  <si>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</si>
  <si>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</si>
  <si>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</si>
  <si>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</si>
  <si>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</si>
  <si>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</si>
  <si>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</si>
  <si>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</si>
  <si>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</si>
  <si>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</si>
  <si>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</si>
  <si>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</si>
  <si>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</si>
  <si>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</si>
  <si>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</si>
  <si>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</si>
  <si>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</si>
  <si>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</si>
  <si>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</si>
  <si>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</si>
  <si>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</si>
  <si>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</si>
  <si>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</si>
  <si>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</si>
  <si>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</si>
  <si>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</si>
  <si>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</si>
  <si>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</si>
  <si>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</si>
  <si>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</si>
  <si>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</si>
  <si>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</si>
  <si>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</si>
  <si>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</si>
  <si>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</si>
  <si>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</si>
  <si>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</si>
  <si>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</si>
  <si>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</si>
  <si>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</si>
  <si>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</si>
  <si>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</si>
  <si>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</si>
  <si>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</si>
  <si>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</si>
  <si>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</si>
  <si>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</si>
  <si>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</si>
  <si>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</si>
  <si>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</si>
  <si>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</si>
  <si>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</si>
  <si>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</si>
  <si>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</si>
  <si>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</si>
  <si>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</si>
  <si>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</si>
  <si>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</si>
  <si>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</si>
  <si>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</si>
  <si>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</si>
  <si>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</si>
  <si>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</si>
  <si>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</si>
  <si>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</si>
  <si>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</si>
  <si>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</si>
  <si>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</si>
  <si>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</si>
  <si>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</si>
  <si>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</si>
  <si>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</si>
  <si>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</si>
  <si>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</si>
  <si>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</si>
  <si>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</si>
  <si>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</si>
  <si>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</si>
  <si>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</si>
  <si>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</si>
  <si>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</si>
  <si>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</si>
  <si>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</si>
  <si>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</si>
  <si>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</si>
  <si>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</si>
  <si>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</si>
  <si>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</si>
  <si>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</si>
  <si>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</si>
  <si>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</si>
  <si>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</si>
  <si>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</si>
  <si>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</si>
  <si>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</si>
  <si>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</si>
  <si>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</si>
  <si>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</si>
  <si>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</si>
  <si>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</si>
  <si>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</si>
  <si>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</si>
  <si>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</si>
  <si>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</si>
  <si>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</si>
  <si>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</si>
  <si>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</si>
  <si>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</si>
  <si>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</si>
  <si>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</si>
  <si>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</si>
  <si>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</si>
  <si>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</si>
  <si>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</si>
  <si>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</si>
  <si>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</si>
  <si>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</si>
  <si>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</si>
  <si>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</si>
  <si>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</si>
  <si>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</si>
  <si>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</si>
  <si>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</si>
  <si>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</si>
  <si>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</si>
  <si>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</si>
  <si>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</si>
  <si>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</si>
  <si>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</si>
  <si>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</si>
  <si>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</si>
  <si>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</si>
  <si>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</si>
  <si>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</si>
  <si>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</si>
  <si>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</si>
  <si>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</si>
  <si>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</si>
  <si>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</si>
  <si>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</si>
  <si>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</si>
  <si>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</si>
  <si>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</si>
  <si>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</si>
  <si>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</si>
  <si>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</si>
  <si>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</si>
  <si>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</si>
  <si>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</si>
  <si>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</si>
  <si>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</si>
  <si>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</si>
  <si>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</si>
  <si>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</si>
  <si>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</si>
  <si>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</si>
  <si>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</si>
  <si>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</si>
  <si>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</si>
  <si>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</si>
  <si>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</si>
  <si>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</si>
  <si>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</si>
  <si>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</si>
  <si>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</si>
  <si>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</si>
  <si>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</si>
  <si>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</si>
  <si>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</si>
  <si>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</si>
  <si>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</si>
  <si>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</si>
  <si>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</si>
  <si>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</si>
  <si>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</si>
  <si>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</si>
  <si>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</si>
  <si>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</si>
  <si>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</si>
  <si>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</si>
  <si>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</si>
  <si>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</si>
  <si>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</si>
  <si>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</si>
  <si>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</si>
  <si>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</si>
  <si>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</si>
  <si>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</si>
  <si>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</si>
  <si>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</si>
  <si>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</si>
  <si>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</si>
  <si>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</si>
  <si>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</si>
  <si>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</si>
  <si>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</si>
  <si>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</si>
  <si>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</si>
  <si>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</si>
  <si>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</si>
  <si>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</si>
  <si>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</si>
  <si>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</si>
  <si>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</si>
  <si>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</si>
  <si>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</si>
  <si>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</si>
  <si>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</si>
  <si>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</si>
  <si>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</si>
  <si>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</si>
  <si>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</si>
  <si>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</si>
  <si>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</si>
  <si>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</si>
  <si>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</si>
  <si>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</si>
  <si>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</si>
  <si>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</si>
  <si>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</si>
  <si>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</si>
  <si>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</si>
  <si>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</si>
  <si>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</si>
  <si>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</si>
  <si>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</si>
  <si>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</si>
  <si>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</si>
  <si>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</si>
  <si>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</si>
  <si>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</si>
  <si>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</si>
  <si>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</si>
  <si>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</si>
  <si>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</si>
  <si>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</si>
  <si>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</si>
  <si>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</si>
  <si>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</si>
  <si>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</si>
  <si>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</si>
  <si>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</si>
  <si>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</si>
  <si>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</si>
  <si>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</si>
  <si>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</si>
  <si>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</si>
  <si>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</si>
  <si>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</si>
  <si>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</si>
  <si>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</si>
  <si>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</si>
  <si>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</si>
  <si>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</si>
  <si>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</si>
  <si>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</si>
  <si>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</si>
  <si>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</si>
  <si>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</si>
  <si>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</si>
  <si>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</si>
  <si>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</si>
  <si>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</si>
  <si>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</si>
  <si>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</si>
  <si>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</si>
  <si>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</si>
  <si>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</si>
  <si>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</si>
  <si>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</si>
  <si>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</si>
  <si>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</si>
  <si>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</si>
  <si>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</si>
  <si>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</si>
  <si>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</si>
  <si>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</si>
  <si>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</si>
  <si>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</si>
  <si>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</si>
  <si>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</si>
  <si>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</si>
  <si>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</si>
  <si>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</si>
  <si>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</si>
  <si>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</si>
  <si>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</si>
  <si>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</si>
  <si>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</si>
  <si>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</si>
  <si>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</si>
  <si>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</si>
  <si>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</si>
  <si>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</si>
  <si>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</si>
  <si>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</si>
  <si>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</si>
  <si>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</si>
  <si>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</si>
  <si>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</si>
  <si>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</si>
  <si>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</si>
  <si>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</si>
  <si>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</si>
  <si>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</si>
  <si>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</si>
  <si>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</si>
  <si>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</si>
  <si>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</si>
  <si>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</si>
  <si>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</si>
  <si>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</si>
  <si>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</si>
  <si>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</si>
  <si>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</si>
  <si>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</si>
  <si>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</si>
  <si>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</si>
  <si>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</si>
  <si>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</si>
  <si>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</si>
  <si>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</si>
  <si>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</si>
  <si>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</si>
  <si>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</si>
  <si>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</si>
  <si>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</si>
  <si>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</si>
  <si>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</si>
  <si>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</si>
  <si>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</si>
  <si>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</si>
  <si>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</si>
  <si>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</si>
  <si>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</si>
  <si>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</si>
  <si>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</si>
  <si>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</si>
  <si>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</si>
  <si>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</si>
  <si>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</si>
  <si>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</si>
  <si>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</si>
  <si>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</si>
  <si>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</si>
  <si>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</si>
  <si>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</si>
  <si>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</si>
  <si>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</si>
  <si>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</si>
  <si>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</si>
  <si>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</si>
  <si>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</si>
  <si>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</si>
  <si>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</si>
  <si>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</si>
  <si>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</si>
  <si>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</si>
  <si>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</si>
  <si>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</si>
  <si>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</si>
  <si>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</si>
  <si>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</si>
  <si>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</si>
  <si>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</si>
  <si>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</si>
  <si>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</si>
  <si>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</si>
  <si>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</si>
  <si>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</si>
  <si>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</si>
  <si>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</si>
  <si>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</si>
  <si>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</si>
  <si>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</si>
  <si>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</si>
  <si>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</si>
  <si>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</si>
  <si>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</si>
  <si>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</si>
  <si>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</si>
  <si>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</si>
  <si>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</si>
  <si>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</si>
  <si>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</si>
  <si>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</si>
  <si>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</si>
  <si>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</si>
  <si>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</si>
  <si>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</si>
  <si>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</si>
  <si>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</si>
  <si>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</si>
  <si>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</si>
  <si>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</si>
  <si>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</si>
  <si>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</si>
  <si>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</si>
  <si>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</si>
  <si>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</si>
  <si>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</si>
  <si>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</si>
  <si>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</si>
  <si>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</si>
  <si>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</si>
  <si>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</si>
  <si>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</si>
  <si>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</si>
  <si>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</si>
  <si>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</si>
  <si>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</si>
  <si>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</si>
  <si>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</si>
  <si>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</si>
  <si>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</si>
  <si>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</si>
  <si>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</si>
  <si>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</si>
  <si>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</si>
  <si>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</si>
  <si>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</si>
  <si>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</si>
  <si>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</si>
  <si>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</si>
  <si>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</si>
  <si>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</si>
  <si>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</si>
  <si>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</si>
  <si>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</si>
  <si>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</si>
  <si>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</si>
  <si>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</si>
  <si>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</si>
  <si>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</si>
  <si>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</si>
  <si>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</si>
  <si>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</si>
  <si>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</si>
  <si>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</si>
  <si>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</si>
  <si>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</si>
  <si>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</si>
  <si>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</si>
  <si>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</si>
  <si>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</si>
  <si>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</si>
  <si>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</si>
  <si>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</si>
  <si>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</si>
  <si>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</si>
  <si>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</si>
  <si>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</si>
  <si>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</si>
  <si>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</si>
  <si>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</si>
  <si>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</si>
  <si>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</si>
  <si>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</si>
  <si>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</si>
  <si>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</si>
  <si>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</si>
  <si>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</si>
  <si>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</si>
  <si>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</si>
  <si>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</si>
  <si>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</si>
  <si>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</si>
  <si>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</si>
  <si>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</si>
  <si>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</si>
  <si>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</si>
  <si>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</si>
  <si>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</si>
  <si>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</si>
  <si>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</si>
  <si>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</si>
  <si>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</si>
  <si>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</si>
  <si>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</si>
  <si>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</si>
  <si>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</si>
  <si>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</si>
  <si>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</si>
  <si>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</si>
  <si>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</si>
  <si>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</si>
  <si>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</si>
  <si>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</si>
  <si>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</si>
  <si>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</si>
  <si>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</si>
  <si>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</si>
  <si>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</si>
  <si>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</si>
  <si>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</si>
  <si>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</si>
  <si>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</si>
  <si>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</si>
  <si>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</si>
  <si>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</si>
  <si>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</si>
  <si>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</si>
  <si>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</si>
  <si>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</si>
  <si>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</si>
  <si>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</si>
  <si>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</si>
  <si>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</si>
  <si>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</si>
  <si>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</si>
  <si>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</si>
  <si>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</si>
  <si>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</si>
  <si>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</si>
  <si>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</si>
  <si>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</si>
  <si>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</si>
  <si>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</si>
  <si>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</si>
  <si>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</si>
  <si>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</si>
  <si>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</si>
  <si>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</si>
  <si>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</si>
  <si>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</si>
  <si>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</si>
  <si>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</si>
  <si>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</si>
  <si>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</si>
  <si>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</si>
  <si>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</si>
  <si>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</si>
  <si>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</si>
  <si>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</si>
  <si>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</si>
  <si>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</si>
  <si>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</si>
  <si>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</si>
  <si>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</si>
  <si>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</si>
  <si>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</si>
  <si>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</si>
  <si>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</si>
  <si>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</si>
  <si>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</si>
  <si>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</si>
  <si>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</si>
  <si>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</si>
  <si>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</si>
  <si>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</si>
  <si>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</si>
  <si>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</si>
  <si>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</si>
  <si>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</si>
  <si>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</si>
  <si>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</si>
  <si>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</si>
  <si>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</si>
  <si>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</si>
  <si>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</si>
  <si>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</si>
  <si>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</si>
  <si>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</si>
  <si>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</si>
  <si>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</si>
  <si>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</si>
  <si>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</si>
  <si>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</si>
  <si>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</si>
  <si>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</si>
  <si>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</si>
  <si>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</si>
  <si>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</si>
  <si>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</si>
  <si>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</si>
  <si>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</si>
  <si>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</si>
  <si>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</si>
  <si>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</si>
  <si>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</si>
  <si>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</si>
  <si>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</si>
  <si>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</si>
  <si>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</si>
  <si>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</si>
  <si>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</si>
  <si>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</si>
  <si>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</si>
  <si>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</si>
  <si>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</si>
  <si>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</si>
  <si>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</si>
  <si>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</si>
  <si>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</si>
  <si>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</si>
  <si>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</si>
  <si>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</si>
  <si>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</si>
  <si>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</si>
  <si>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</si>
  <si>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</si>
  <si>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</si>
  <si>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</si>
  <si>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</si>
  <si>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</si>
  <si>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</si>
  <si>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</si>
  <si>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</si>
  <si>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</si>
  <si>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</si>
  <si>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</si>
  <si>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</si>
  <si>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</si>
  <si>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</si>
  <si>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</si>
  <si>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</si>
  <si>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</si>
  <si>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</si>
  <si>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</si>
  <si>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</si>
  <si>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</si>
  <si>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</si>
  <si>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</si>
  <si>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</si>
  <si>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RSDSH_Apt-C,RSDWH_Apt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</si>
  <si>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</si>
  <si>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</si>
  <si>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</si>
  <si>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</si>
  <si>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</si>
  <si>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</si>
  <si>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</si>
  <si>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</si>
  <si>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</si>
  <si>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</si>
  <si>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</si>
  <si>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</si>
  <si>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</si>
  <si>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</si>
  <si>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</si>
  <si>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</si>
  <si>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</si>
  <si>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</si>
  <si>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</si>
  <si>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</si>
  <si>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</si>
  <si>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</si>
  <si>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</si>
  <si>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</si>
  <si>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</si>
  <si>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</si>
  <si>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</si>
  <si>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</si>
  <si>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</si>
  <si>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</si>
  <si>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</si>
  <si>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</si>
  <si>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RSDSH_Apt-D,RSDSC_Apt</t>
  </si>
  <si>
    <t>RSDSH_Apt-D,RSDWH_Apt</t>
  </si>
  <si>
    <t>Residential Electric Heat Pump - Ground to Water - SH + SC -E rated dwelling</t>
  </si>
  <si>
    <t>Residential Electric Heat Pump - Ground to Water - SH + SC -F rated dwelling</t>
  </si>
  <si>
    <t>Residential Electric Heat Pump AB - Air to Water - SH + WH - AB rated dwelling</t>
  </si>
  <si>
    <t>Residential Electric Heat Pump AB - Air to Water - SH + WH - C rated dwelling</t>
  </si>
  <si>
    <t>Residential Electric Heat Pump AB - Air to Water - SH + WH - D rated dwelling</t>
  </si>
  <si>
    <t>Residential Electric Heat Pump AB - Air to Water - SH + WH - E rated dwelling</t>
  </si>
  <si>
    <t>Residential Electric Heat Pump AB - Air to Water - SH + WH - F rated dwelling</t>
  </si>
  <si>
    <t>Residential Electric Heat Pump AB - Air to Water - SH + WH - G rated dwelling</t>
  </si>
  <si>
    <t>Residential Electric Heat Pump AB - Ground to Water - SH - AB rated dwelling</t>
  </si>
  <si>
    <t>Residential Electric Heat Pump AB - Ground to Water - SH - Crated dwelling</t>
  </si>
  <si>
    <t>Residential Electric Heat Pump AB - Ground to Water - SH - D rated dwelling</t>
  </si>
  <si>
    <t>Residential Electric Heat Pump AB - Ground to Water - SH - E rated dwelling</t>
  </si>
  <si>
    <t>Residential Electric Heat Pump AB - Ground to Water - SH - F rated dwelling</t>
  </si>
  <si>
    <t>Residential Electric Heat Pump AB - Ground to Water - SH - G rated dwelling</t>
  </si>
  <si>
    <t>Residential Electric Heat Pump AB - Air to Water - SH - C rated dwelling</t>
  </si>
  <si>
    <t>Residential Electric Heat Pump AB - Air to Water - SH - AB rated dwelling</t>
  </si>
  <si>
    <t>Residential Electric Heat Pump AB - Air to Water - SH - D rated dwelling</t>
  </si>
  <si>
    <t>Residential Electric Heat Pump AB - Air to Water - SH - E rated dwelling</t>
  </si>
  <si>
    <t>Residential Electric Heat Pump AB- Air to Water - SH -F rated dwelling</t>
  </si>
  <si>
    <t>Residential Electric Heat Pump AB - Air to Water - SH - G rated dwelling</t>
  </si>
  <si>
    <t>RSDSH_Apt-AB,,RSDWH_Apt</t>
  </si>
  <si>
    <t>RSDSH_Apt-AB,RSDSC_Apt</t>
  </si>
  <si>
    <t>RSDSH_Att-AB,RSDWH_Att</t>
  </si>
  <si>
    <t>Residential Electric Heat Pump AB - Air to Water - SH + WH + Solar - AB rated dwelling</t>
  </si>
  <si>
    <t>Residential Electric Heat Pump AB - Air to Water - SH + WH + Solar - C rated dwelling</t>
  </si>
  <si>
    <t>Residential Electric Heat Pump AB - Air to Water - SH + WH + Solar - D rated dwelling</t>
  </si>
  <si>
    <t>Residential Electric Heat Pump AB - Air to Water - SH + WH + Solar - E rated dwelling</t>
  </si>
  <si>
    <t>Residential Electric Heat Pump AB - Air to Water - SH + WH + Solar -F rated dwelling</t>
  </si>
  <si>
    <t>Residential Electric Heat Pump AB - Air to Water - SH + WH + Solar - G rated dwelling</t>
  </si>
  <si>
    <t>Residential Electric Heat Pump AB - Ground to Water - SH - C rated dwelling</t>
  </si>
  <si>
    <t>Residential Electric Heat Pump AB - Ground to Water - SH - Frated dwelling</t>
  </si>
  <si>
    <t>RSDSH_Att-AB,RSDSC_Att</t>
  </si>
  <si>
    <t>Residential Electric Heat Pump AB - Ground to Water - SH + SC - AB rated dwelling</t>
  </si>
  <si>
    <t>Residential Electric Heat Pump AB - Ground to Water - SH + SC -  C rated dwelling</t>
  </si>
  <si>
    <t>Residential Electric Heat Pump AB - Ground to Water - SH + SC - D rated dwelling</t>
  </si>
  <si>
    <t>Residential Electric Heat Pump AB - Ground to Water - SH + SC - E rated dwelling</t>
  </si>
  <si>
    <t>Residential Electric Heat Pump AB - Ground to Water - SH + SC - F rated dwelling</t>
  </si>
  <si>
    <t>Residential Electric Heat Pump AB - Ground to Water - SH + SC - G rated dwelling</t>
  </si>
  <si>
    <t>Residential Electric Heat Pump AB - Air to Water - SH - F rated dwelling</t>
  </si>
  <si>
    <t>RSDSH_Det-AB,RSDWH_Det</t>
  </si>
  <si>
    <t>Residential Electric Heat Pump AB - Air to Water - SH + WH + Solar - F rated dwelling</t>
  </si>
  <si>
    <t>Residential Electric Heat Pump AB - Ground to Water - SH -E rated dwelling</t>
  </si>
  <si>
    <t>RSDSH_Det-AB,RSDSC_Det</t>
  </si>
  <si>
    <t>Residential Electric Heat Pump AB - Ground to Water - SH + SC - C rated dwelling</t>
  </si>
  <si>
    <t>Residential Electric Heat Pump AB - Ground to Water - SH + SC -E rated dwelling</t>
  </si>
  <si>
    <t>Residential Electric Heat Pump AB - Ground to Water - SH + SC - Grated dwelling</t>
  </si>
  <si>
    <t>CEFF-O</t>
  </si>
  <si>
    <t>CEFF~2030-O</t>
  </si>
  <si>
    <t>CEFF~2040-O</t>
  </si>
  <si>
    <t>CEFF~2050-O</t>
  </si>
  <si>
    <t>RSDAHT3</t>
  </si>
  <si>
    <t>Ambient Heat to Residential Space Cooling</t>
  </si>
  <si>
    <t>RSDAHT,RSDAHT3</t>
  </si>
  <si>
    <t>No</t>
  </si>
  <si>
    <t>Yes</t>
  </si>
  <si>
    <t>Allow Sub-Optimal Heat Pumps: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</si>
</sst>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64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2" fontId="12" fillId="26" borderId="9" xfId="0" applyNumberFormat="1" applyFont="1" applyFill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1" fontId="12" fillId="0" borderId="5" xfId="0" applyNumberFormat="1" applyFont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3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3" fontId="0" fillId="30" borderId="82" xfId="0" applyNumberFormat="1" applyFill="1" applyBorder="1"/>
    <xf numFmtId="173" fontId="0" fillId="30" borderId="2" xfId="0" applyNumberFormat="1" applyFill="1" applyBorder="1"/>
    <xf numFmtId="173" fontId="0" fillId="30" borderId="80" xfId="0" applyNumberFormat="1" applyFill="1" applyBorder="1"/>
    <xf numFmtId="173" fontId="0" fillId="15" borderId="81" xfId="0" applyNumberFormat="1" applyFill="1" applyBorder="1"/>
    <xf numFmtId="173" fontId="0" fillId="15" borderId="0" xfId="0" applyNumberFormat="1" applyFill="1" applyBorder="1"/>
    <xf numFmtId="173" fontId="0" fillId="15" borderId="78" xfId="0" applyNumberFormat="1" applyFill="1" applyBorder="1"/>
    <xf numFmtId="173" fontId="0" fillId="34" borderId="0" xfId="0" applyNumberFormat="1" applyFill="1" applyBorder="1"/>
    <xf numFmtId="173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3" fontId="0" fillId="30" borderId="81" xfId="0" applyNumberForma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3" fontId="0" fillId="32" borderId="81" xfId="0" applyNumberFormat="1" applyFill="1" applyBorder="1"/>
    <xf numFmtId="173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2" fontId="12" fillId="19" borderId="54" xfId="0" applyNumberFormat="1" applyFont="1" applyFill="1" applyBorder="1"/>
    <xf numFmtId="0" fontId="12" fillId="19" borderId="28" xfId="0" applyFont="1" applyFill="1" applyBorder="1"/>
    <xf numFmtId="2" fontId="12" fillId="19" borderId="60" xfId="0" applyNumberFormat="1" applyFont="1" applyFill="1" applyBorder="1"/>
    <xf numFmtId="2" fontId="12" fillId="19" borderId="28" xfId="0" applyNumberFormat="1" applyFont="1" applyFill="1" applyBorder="1"/>
    <xf numFmtId="2" fontId="12" fillId="19" borderId="57" xfId="0" applyNumberFormat="1" applyFont="1" applyFill="1" applyBorder="1"/>
    <xf numFmtId="2" fontId="12" fillId="19" borderId="58" xfId="0" applyNumberFormat="1" applyFont="1" applyFill="1" applyBorder="1"/>
    <xf numFmtId="0" fontId="12" fillId="19" borderId="58" xfId="0" applyFont="1" applyFill="1" applyBorder="1"/>
    <xf numFmtId="9" fontId="12" fillId="19" borderId="58" xfId="0" applyNumberFormat="1" applyFont="1" applyFill="1" applyBorder="1"/>
    <xf numFmtId="0" fontId="12" fillId="19" borderId="59" xfId="0" applyFont="1" applyFill="1" applyBorder="1"/>
    <xf numFmtId="2" fontId="12" fillId="0" borderId="81" xfId="0" applyNumberFormat="1" applyFont="1" applyBorder="1"/>
    <xf numFmtId="0" fontId="12" fillId="0" borderId="92" xfId="0" applyFont="1" applyBorder="1"/>
    <xf numFmtId="2" fontId="12" fillId="19" borderId="81" xfId="0" applyNumberFormat="1" applyFont="1" applyFill="1" applyBorder="1"/>
    <xf numFmtId="0" fontId="12" fillId="19" borderId="92" xfId="0" applyFont="1" applyFill="1" applyBorder="1"/>
    <xf numFmtId="2" fontId="12" fillId="0" borderId="82" xfId="0" applyNumberFormat="1" applyFont="1" applyBorder="1"/>
    <xf numFmtId="0" fontId="12" fillId="0" borderId="2" xfId="0" applyFont="1" applyBorder="1"/>
    <xf numFmtId="2" fontId="12" fillId="0" borderId="93" xfId="0" applyNumberFormat="1" applyFont="1" applyBorder="1"/>
    <xf numFmtId="2" fontId="12" fillId="0" borderId="2" xfId="0" applyNumberFormat="1" applyFont="1" applyBorder="1"/>
    <xf numFmtId="2" fontId="12" fillId="0" borderId="94" xfId="0" applyNumberFormat="1" applyFont="1" applyBorder="1"/>
    <xf numFmtId="2" fontId="12" fillId="0" borderId="95" xfId="0" applyNumberFormat="1" applyFont="1" applyBorder="1"/>
    <xf numFmtId="0" fontId="12" fillId="0" borderId="95" xfId="0" applyFont="1" applyBorder="1"/>
    <xf numFmtId="9" fontId="12" fillId="0" borderId="95" xfId="0" applyNumberFormat="1" applyFont="1" applyBorder="1"/>
    <xf numFmtId="0" fontId="12" fillId="0" borderId="96" xfId="0" applyFont="1" applyBorder="1"/>
    <xf numFmtId="2" fontId="12" fillId="20" borderId="9" xfId="0" applyNumberFormat="1" applyFont="1" applyFill="1" applyBorder="1"/>
    <xf numFmtId="2" fontId="12" fillId="20" borderId="3" xfId="0" applyNumberFormat="1" applyFont="1" applyFill="1" applyBorder="1"/>
    <xf numFmtId="0" fontId="12" fillId="20" borderId="3" xfId="0" applyFont="1" applyFill="1" applyBorder="1"/>
    <xf numFmtId="9" fontId="12" fillId="20" borderId="3" xfId="0" applyNumberFormat="1" applyFont="1" applyFill="1" applyBorder="1"/>
    <xf numFmtId="0" fontId="0" fillId="21" borderId="3" xfId="0" applyFill="1" applyBorder="1"/>
    <xf numFmtId="0" fontId="12" fillId="20" borderId="16" xfId="0" applyFont="1" applyFill="1" applyBorder="1"/>
    <xf numFmtId="1" fontId="12" fillId="19" borderId="28" xfId="0" applyNumberFormat="1" applyFont="1" applyFill="1" applyBorder="1"/>
    <xf numFmtId="9" fontId="12" fillId="19" borderId="28" xfId="0" applyNumberFormat="1" applyFont="1" applyFill="1" applyBorder="1"/>
    <xf numFmtId="0" fontId="12" fillId="19" borderId="55" xfId="0" applyFont="1" applyFill="1" applyBorder="1"/>
    <xf numFmtId="1" fontId="12" fillId="0" borderId="2" xfId="0" applyNumberFormat="1" applyFont="1" applyBorder="1"/>
    <xf numFmtId="9" fontId="12" fillId="0" borderId="2" xfId="0" applyNumberFormat="1" applyFont="1" applyBorder="1"/>
    <xf numFmtId="0" fontId="12" fillId="0" borderId="80" xfId="0" applyFont="1" applyBorder="1"/>
    <xf numFmtId="0" fontId="12" fillId="0" borderId="78" xfId="0" applyFont="1" applyBorder="1"/>
    <xf numFmtId="0" fontId="12" fillId="19" borderId="78" xfId="0" applyFont="1" applyFill="1" applyBorder="1"/>
    <xf numFmtId="2" fontId="12" fillId="19" borderId="82" xfId="0" applyNumberFormat="1" applyFont="1" applyFill="1" applyBorder="1"/>
    <xf numFmtId="0" fontId="12" fillId="19" borderId="2" xfId="0" applyFont="1" applyFill="1" applyBorder="1"/>
    <xf numFmtId="2" fontId="12" fillId="19" borderId="2" xfId="0" applyNumberFormat="1" applyFont="1" applyFill="1" applyBorder="1"/>
    <xf numFmtId="1" fontId="12" fillId="19" borderId="2" xfId="0" applyNumberFormat="1" applyFont="1" applyFill="1" applyBorder="1"/>
    <xf numFmtId="9" fontId="12" fillId="19" borderId="2" xfId="0" applyNumberFormat="1" applyFont="1" applyFill="1" applyBorder="1"/>
    <xf numFmtId="0" fontId="12" fillId="19" borderId="80" xfId="0" applyFont="1" applyFill="1" applyBorder="1"/>
    <xf numFmtId="2" fontId="12" fillId="0" borderId="97" xfId="0" applyNumberFormat="1" applyFont="1" applyBorder="1"/>
    <xf numFmtId="0" fontId="12" fillId="0" borderId="98" xfId="0" applyFont="1" applyBorder="1"/>
    <xf numFmtId="2" fontId="12" fillId="0" borderId="54" xfId="0" applyNumberFormat="1" applyFont="1" applyBorder="1"/>
    <xf numFmtId="0" fontId="12" fillId="0" borderId="28" xfId="0" applyFont="1" applyBorder="1"/>
    <xf numFmtId="2" fontId="12" fillId="0" borderId="28" xfId="0" applyNumberFormat="1" applyFont="1" applyBorder="1"/>
    <xf numFmtId="1" fontId="12" fillId="0" borderId="28" xfId="0" applyNumberFormat="1" applyFont="1" applyBorder="1"/>
    <xf numFmtId="9" fontId="12" fillId="0" borderId="28" xfId="0" applyNumberFormat="1" applyFont="1" applyBorder="1"/>
    <xf numFmtId="0" fontId="12" fillId="0" borderId="55" xfId="0" applyFont="1" applyBorder="1"/>
    <xf numFmtId="2" fontId="12" fillId="19" borderId="55" xfId="0" applyNumberFormat="1" applyFont="1" applyFill="1" applyBorder="1"/>
    <xf numFmtId="2" fontId="12" fillId="0" borderId="80" xfId="0" applyNumberFormat="1" applyFont="1" applyBorder="1"/>
    <xf numFmtId="2" fontId="12" fillId="0" borderId="78" xfId="0" applyNumberFormat="1" applyFont="1" applyBorder="1"/>
    <xf numFmtId="2" fontId="12" fillId="19" borderId="78" xfId="0" applyNumberFormat="1" applyFont="1" applyFill="1" applyBorder="1"/>
    <xf numFmtId="2" fontId="12" fillId="0" borderId="98" xfId="0" applyNumberFormat="1" applyFont="1" applyBorder="1"/>
    <xf numFmtId="2" fontId="12" fillId="19" borderId="80" xfId="0" applyNumberFormat="1" applyFont="1" applyFill="1" applyBorder="1"/>
    <xf numFmtId="2" fontId="12" fillId="0" borderId="55" xfId="0" applyNumberFormat="1" applyFont="1" applyBorder="1"/>
    <xf numFmtId="2" fontId="12" fillId="19" borderId="97" xfId="0" applyNumberFormat="1" applyFont="1" applyFill="1" applyBorder="1"/>
    <xf numFmtId="2" fontId="12" fillId="19" borderId="5" xfId="0" applyNumberFormat="1" applyFont="1" applyFill="1" applyBorder="1"/>
    <xf numFmtId="2" fontId="12" fillId="19" borderId="98" xfId="0" applyNumberFormat="1" applyFont="1" applyFill="1" applyBorder="1"/>
    <xf numFmtId="1" fontId="12" fillId="19" borderId="5" xfId="0" applyNumberFormat="1" applyFont="1" applyFill="1" applyBorder="1"/>
    <xf numFmtId="9" fontId="12" fillId="19" borderId="5" xfId="0" applyNumberFormat="1" applyFont="1" applyFill="1" applyBorder="1"/>
    <xf numFmtId="0" fontId="12" fillId="19" borderId="98" xfId="0" applyFont="1" applyFill="1" applyBorder="1"/>
    <xf numFmtId="9" fontId="12" fillId="19" borderId="60" xfId="0" applyNumberFormat="1" applyFont="1" applyFill="1" applyBorder="1"/>
    <xf numFmtId="9" fontId="12" fillId="19" borderId="57" xfId="0" applyNumberFormat="1" applyFont="1" applyFill="1" applyBorder="1"/>
    <xf numFmtId="0" fontId="12" fillId="19" borderId="60" xfId="0" applyFont="1" applyFill="1" applyBorder="1"/>
    <xf numFmtId="0" fontId="12" fillId="19" borderId="57" xfId="0" applyFont="1" applyFill="1" applyBorder="1"/>
    <xf numFmtId="1" fontId="12" fillId="19" borderId="58" xfId="0" applyNumberFormat="1" applyFont="1" applyFill="1" applyBorder="1"/>
    <xf numFmtId="9" fontId="12" fillId="0" borderId="93" xfId="0" applyNumberFormat="1" applyFont="1" applyBorder="1"/>
    <xf numFmtId="9" fontId="12" fillId="0" borderId="94" xfId="0" applyNumberFormat="1" applyFont="1" applyBorder="1"/>
    <xf numFmtId="0" fontId="12" fillId="0" borderId="93" xfId="0" applyFont="1" applyBorder="1"/>
    <xf numFmtId="0" fontId="12" fillId="0" borderId="94" xfId="0" applyFont="1" applyBorder="1"/>
    <xf numFmtId="2" fontId="12" fillId="19" borderId="94" xfId="0" applyNumberFormat="1" applyFont="1" applyFill="1" applyBorder="1"/>
    <xf numFmtId="2" fontId="12" fillId="19" borderId="93" xfId="0" applyNumberFormat="1" applyFont="1" applyFill="1" applyBorder="1"/>
    <xf numFmtId="9" fontId="12" fillId="19" borderId="93" xfId="0" applyNumberFormat="1" applyFont="1" applyFill="1" applyBorder="1"/>
    <xf numFmtId="9" fontId="12" fillId="19" borderId="94" xfId="0" applyNumberFormat="1" applyFont="1" applyFill="1" applyBorder="1"/>
    <xf numFmtId="0" fontId="12" fillId="19" borderId="93" xfId="0" applyFont="1" applyFill="1" applyBorder="1"/>
    <xf numFmtId="0" fontId="12" fillId="19" borderId="94" xfId="0" applyFont="1" applyFill="1" applyBorder="1"/>
    <xf numFmtId="2" fontId="12" fillId="19" borderId="95" xfId="0" applyNumberFormat="1" applyFont="1" applyFill="1" applyBorder="1"/>
    <xf numFmtId="0" fontId="12" fillId="19" borderId="95" xfId="0" applyFont="1" applyFill="1" applyBorder="1"/>
    <xf numFmtId="9" fontId="12" fillId="19" borderId="95" xfId="0" applyNumberFormat="1" applyFont="1" applyFill="1" applyBorder="1"/>
    <xf numFmtId="1" fontId="12" fillId="19" borderId="95" xfId="0" applyNumberFormat="1" applyFont="1" applyFill="1" applyBorder="1"/>
    <xf numFmtId="0" fontId="12" fillId="19" borderId="96" xfId="0" applyFont="1" applyFill="1" applyBorder="1"/>
    <xf numFmtId="2" fontId="12" fillId="0" borderId="57" xfId="0" applyNumberFormat="1" applyFont="1" applyBorder="1"/>
    <xf numFmtId="2" fontId="12" fillId="0" borderId="60" xfId="0" applyNumberFormat="1" applyFont="1" applyBorder="1"/>
    <xf numFmtId="9" fontId="12" fillId="0" borderId="60" xfId="0" applyNumberFormat="1" applyFont="1" applyBorder="1"/>
    <xf numFmtId="9" fontId="12" fillId="0" borderId="57" xfId="0" applyNumberFormat="1" applyFont="1" applyBorder="1"/>
    <xf numFmtId="0" fontId="12" fillId="0" borderId="60" xfId="0" applyFont="1" applyBorder="1"/>
    <xf numFmtId="0" fontId="12" fillId="0" borderId="57" xfId="0" applyFont="1" applyBorder="1"/>
    <xf numFmtId="2" fontId="12" fillId="0" borderId="58" xfId="0" applyNumberFormat="1" applyFont="1" applyBorder="1"/>
    <xf numFmtId="0" fontId="12" fillId="0" borderId="58" xfId="0" applyFont="1" applyBorder="1"/>
    <xf numFmtId="9" fontId="12" fillId="0" borderId="58" xfId="0" applyNumberFormat="1" applyFont="1" applyBorder="1"/>
    <xf numFmtId="0" fontId="12" fillId="0" borderId="59" xfId="0" applyFont="1" applyBorder="1"/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269</xdr:row>
      <xdr:rowOff>87313</xdr:rowOff>
    </xdr:from>
    <xdr:to>
      <xdr:col>37</xdr:col>
      <xdr:colOff>462225</xdr:colOff>
      <xdr:row>279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604" t="s">
        <v>581</v>
      </c>
      <c r="B16" s="604"/>
      <c r="C16" s="604"/>
      <c r="D16" s="604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603" t="s">
        <v>597</v>
      </c>
      <c r="C19" s="603"/>
      <c r="D19" s="603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603" t="s">
        <v>592</v>
      </c>
      <c r="C20" s="603"/>
      <c r="D20" s="603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603" t="s">
        <v>594</v>
      </c>
      <c r="C23" s="603"/>
      <c r="D23" s="603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603" t="s">
        <v>595</v>
      </c>
      <c r="C24" s="603"/>
      <c r="D24" s="603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603" t="s">
        <v>596</v>
      </c>
      <c r="C25" s="603"/>
      <c r="D25" s="603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603" t="s">
        <v>594</v>
      </c>
      <c r="C26" s="603"/>
      <c r="D26" s="603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603" t="s">
        <v>596</v>
      </c>
      <c r="C27" s="603"/>
      <c r="D27" s="603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605" t="s">
        <v>588</v>
      </c>
      <c r="C30" s="603"/>
      <c r="D30" s="603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603" t="s">
        <v>590</v>
      </c>
      <c r="C31" s="603"/>
      <c r="D31" s="603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606" t="s">
        <v>1</v>
      </c>
      <c r="C2" s="607"/>
      <c r="D2" s="607"/>
      <c r="E2" s="608"/>
      <c r="G2" s="606" t="s">
        <v>2</v>
      </c>
      <c r="H2" s="608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606" t="s">
        <v>11</v>
      </c>
      <c r="H14" s="608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609" t="s">
        <v>54</v>
      </c>
      <c r="C20" s="610"/>
      <c r="D20" s="610"/>
      <c r="E20" s="611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606" t="s">
        <v>59</v>
      </c>
      <c r="C36" s="607"/>
      <c r="D36" s="607"/>
      <c r="E36" s="608"/>
      <c r="G36" s="612" t="s">
        <v>55</v>
      </c>
      <c r="H36" s="613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H4" sqref="H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08" t="s">
        <v>693</v>
      </c>
      <c r="H3" s="508" t="s">
        <v>678</v>
      </c>
      <c r="I3" s="17" t="s">
        <v>694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689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1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03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625</v>
      </c>
      <c r="F12" s="21" t="s">
        <v>133</v>
      </c>
      <c r="G12" s="21">
        <v>1</v>
      </c>
      <c r="H12" s="124">
        <v>1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626</v>
      </c>
      <c r="F18" s="21" t="s">
        <v>139</v>
      </c>
      <c r="G18" s="21">
        <v>1</v>
      </c>
      <c r="H18" s="124">
        <v>1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695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1:AU324"/>
  <sheetViews>
    <sheetView tabSelected="1" topLeftCell="M233" zoomScale="90" zoomScaleNormal="90" workbookViewId="0">
      <selection activeCell="Z246" sqref="Z246:Z256"/>
    </sheetView>
  </sheetViews>
  <sheetFormatPr defaultColWidth="9.140625" defaultRowHeight="12.75" x14ac:dyDescent="0.2"/>
  <cols>
    <col min="1" max="1" width="22.7109375" style="3" bestFit="1" customWidth="1"/>
    <col min="2" max="2" width="10.7109375" style="3" customWidth="1"/>
    <col min="3" max="3" width="25.85546875" style="3" customWidth="1"/>
    <col min="4" max="4" width="66.28515625" style="3" customWidth="1"/>
    <col min="5" max="5" width="18.85546875" style="3" customWidth="1"/>
    <col min="6" max="6" width="19.7109375" style="3" customWidth="1"/>
    <col min="7" max="7" width="28.42578125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1" spans="1:46" x14ac:dyDescent="0.2">
      <c r="A1" s="4" t="s">
        <v>799</v>
      </c>
    </row>
    <row r="2" spans="1:46" x14ac:dyDescent="0.2">
      <c r="A2" s="3" t="s">
        <v>797</v>
      </c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1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790</v>
      </c>
      <c r="I3" s="17" t="s">
        <v>791</v>
      </c>
      <c r="J3" s="17" t="s">
        <v>792</v>
      </c>
      <c r="K3" s="17" t="s">
        <v>793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678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697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1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625" t="s">
        <v>242</v>
      </c>
      <c r="I4" s="626"/>
      <c r="J4" s="626"/>
      <c r="K4" s="627"/>
      <c r="L4" s="625" t="s">
        <v>83</v>
      </c>
      <c r="M4" s="626"/>
      <c r="N4" s="626"/>
      <c r="O4" s="627"/>
      <c r="P4" s="625" t="s">
        <v>84</v>
      </c>
      <c r="Q4" s="626"/>
      <c r="R4" s="626"/>
      <c r="S4" s="627"/>
      <c r="T4" s="625" t="s">
        <v>85</v>
      </c>
      <c r="U4" s="627"/>
      <c r="V4" s="619" t="s">
        <v>86</v>
      </c>
      <c r="W4" s="620"/>
      <c r="X4" s="620"/>
      <c r="Y4" s="621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698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683</v>
      </c>
      <c r="AS4" s="204" t="s">
        <v>73</v>
      </c>
      <c r="AT4" s="204" t="s">
        <v>74</v>
      </c>
    </row>
    <row r="5" spans="1:46" ht="15" x14ac:dyDescent="0.25">
      <c r="A5" s="3" t="s">
        <v>798</v>
      </c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1:46" ht="15" x14ac:dyDescent="0.25">
      <c r="A6" s="3" t="s">
        <v>797</v>
      </c>
      <c r="C6" s="37" t="s">
        <v>253</v>
      </c>
      <c r="D6" s="38"/>
      <c r="E6" s="38"/>
      <c r="F6" s="38"/>
      <c r="G6" s="39"/>
      <c r="H6" s="622" t="s">
        <v>34</v>
      </c>
      <c r="I6" s="623"/>
      <c r="J6" s="623"/>
      <c r="K6" s="624"/>
      <c r="L6" s="623" t="s">
        <v>34</v>
      </c>
      <c r="M6" s="623"/>
      <c r="N6" s="623"/>
      <c r="O6" s="624"/>
      <c r="P6" s="622" t="s">
        <v>34</v>
      </c>
      <c r="Q6" s="623"/>
      <c r="R6" s="623"/>
      <c r="S6" s="624"/>
      <c r="T6" s="622" t="s">
        <v>68</v>
      </c>
      <c r="U6" s="624"/>
      <c r="V6" s="622" t="s">
        <v>487</v>
      </c>
      <c r="W6" s="623"/>
      <c r="X6" s="623"/>
      <c r="Y6" s="624"/>
      <c r="Z6" s="445" t="s">
        <v>498</v>
      </c>
      <c r="AA6" s="445" t="s">
        <v>93</v>
      </c>
      <c r="AB6" s="37" t="s">
        <v>34</v>
      </c>
      <c r="AC6" s="445" t="s">
        <v>34</v>
      </c>
      <c r="AD6" s="445" t="s">
        <v>34</v>
      </c>
      <c r="AE6" s="445"/>
      <c r="AF6" s="445"/>
      <c r="AG6" s="445"/>
      <c r="AH6" s="69" t="s">
        <v>267</v>
      </c>
      <c r="AI6" s="445" t="s">
        <v>34</v>
      </c>
      <c r="AJ6" s="445" t="s">
        <v>94</v>
      </c>
      <c r="AK6" s="445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1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612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1">
        <f>V9*1.3</f>
        <v>3.6270000000000002</v>
      </c>
      <c r="W7" s="441">
        <f t="shared" ref="W7:Y7" si="1">W9*1.3</f>
        <v>3.6270000000000002</v>
      </c>
      <c r="X7" s="441">
        <f t="shared" si="1"/>
        <v>3.6270000000000002</v>
      </c>
      <c r="Y7" s="441">
        <f t="shared" si="1"/>
        <v>3.6270000000000002</v>
      </c>
      <c r="Z7" s="441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1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613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1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612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1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613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V9*($U$287/$U$286)</f>
        <v>2.8135443037974688</v>
      </c>
      <c r="W10" s="350">
        <f>W9*($U$287/$U$286)</f>
        <v>2.8135443037974688</v>
      </c>
      <c r="X10" s="350">
        <f>X9*($U$287/$U$286)</f>
        <v>2.8135443037974688</v>
      </c>
      <c r="Y10" s="350">
        <f>Y9*($U$287/$U$286)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1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612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1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613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1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612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684</v>
      </c>
      <c r="AS13" s="104"/>
      <c r="AT13" s="104" t="s">
        <v>75</v>
      </c>
    </row>
    <row r="14" spans="1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613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3">
        <f>(JRC_Data!BB11/1000)*($U$287/$U$288)</f>
        <v>6.6663223140495873</v>
      </c>
      <c r="W14" s="443">
        <f>(JRC_Data!BC11/1000)*($U$287/$U$288)</f>
        <v>6.6663223140495873</v>
      </c>
      <c r="X14" s="443">
        <f>(JRC_Data!BD11/1000)*($U$287/$U$288)</f>
        <v>7.4070247933884303</v>
      </c>
      <c r="Y14" s="443">
        <f>(JRC_Data!BE11/1000)*($U$287/$U$288)</f>
        <v>7.4070247933884303</v>
      </c>
      <c r="Z14" s="443">
        <v>0.25</v>
      </c>
      <c r="AA14" s="67"/>
      <c r="AB14" s="442"/>
      <c r="AC14" s="442"/>
      <c r="AD14" s="442"/>
      <c r="AE14" s="442"/>
      <c r="AF14" s="442"/>
      <c r="AG14" s="442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21" si="15">C18</f>
        <v>R-SH_Apt_ELC_HPN1</v>
      </c>
      <c r="AO14" s="97" t="str">
        <f t="shared" ref="AO14:AO21" si="16">D18</f>
        <v>Residential Electric Heat Pump - Air to Air - SH</v>
      </c>
      <c r="AP14" s="98" t="s">
        <v>13</v>
      </c>
      <c r="AQ14" s="116" t="s">
        <v>119</v>
      </c>
      <c r="AR14" s="98" t="s">
        <v>684</v>
      </c>
      <c r="AS14" s="98"/>
      <c r="AT14" s="98" t="s">
        <v>75</v>
      </c>
    </row>
    <row r="15" spans="1:46" ht="15" x14ac:dyDescent="0.25">
      <c r="C15" s="446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47"/>
      <c r="AC15" s="447"/>
      <c r="AD15" s="447"/>
      <c r="AE15" s="447"/>
      <c r="AF15" s="447"/>
      <c r="AG15" s="447"/>
      <c r="AH15" s="33"/>
      <c r="AI15" s="34"/>
      <c r="AJ15" s="34"/>
      <c r="AK15" s="448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684</v>
      </c>
      <c r="AS15" s="100"/>
      <c r="AT15" s="100" t="s">
        <v>75</v>
      </c>
    </row>
    <row r="16" spans="1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612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(JRC_Data!BB48/1000)*($U$286/$U$283)</f>
        <v>4.627279012345678</v>
      </c>
      <c r="W16" s="78">
        <f>(JRC_Data!BC48/1000)*($U$286/$U$283)</f>
        <v>4.627279012345678</v>
      </c>
      <c r="X16" s="78">
        <f>(JRC_Data!BD48/1000)*($U$286/$U$283)</f>
        <v>4.627279012345678</v>
      </c>
      <c r="Y16" s="78">
        <f>(JRC_Data!BE48/1000)*($U$286/$U$283)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AB - Air to Water - SH - AB rated dwelling</v>
      </c>
      <c r="AP16" s="100" t="s">
        <v>13</v>
      </c>
      <c r="AQ16" s="118" t="s">
        <v>119</v>
      </c>
      <c r="AR16" s="100" t="s">
        <v>684</v>
      </c>
      <c r="AS16" s="100"/>
      <c r="AT16" s="100" t="s">
        <v>75</v>
      </c>
    </row>
    <row r="17" spans="3:47" ht="15.75" thickBot="1" x14ac:dyDescent="0.3">
      <c r="C17" s="532" t="s">
        <v>255</v>
      </c>
      <c r="D17" s="533"/>
      <c r="E17" s="534"/>
      <c r="F17" s="534"/>
      <c r="G17" s="534"/>
      <c r="H17" s="535"/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4"/>
      <c r="U17" s="534"/>
      <c r="V17" s="533"/>
      <c r="W17" s="533"/>
      <c r="X17" s="533"/>
      <c r="Y17" s="533"/>
      <c r="Z17" s="533"/>
      <c r="AA17" s="534"/>
      <c r="AB17" s="536"/>
      <c r="AC17" s="536"/>
      <c r="AD17" s="536"/>
      <c r="AE17" s="536"/>
      <c r="AF17" s="536"/>
      <c r="AG17" s="536"/>
      <c r="AH17" s="533"/>
      <c r="AI17" s="534"/>
      <c r="AJ17" s="534"/>
      <c r="AK17" s="537"/>
      <c r="AM17" s="100"/>
      <c r="AN17" s="205" t="str">
        <f t="shared" si="15"/>
        <v>R-SH_Apt_ELC_HPN2-ABC</v>
      </c>
      <c r="AO17" s="205" t="str">
        <f t="shared" si="16"/>
        <v>Residential Electric Heat Pump AB - Air to Water - SH - C rated dwelling</v>
      </c>
      <c r="AP17" s="100" t="s">
        <v>13</v>
      </c>
      <c r="AQ17" s="118" t="s">
        <v>119</v>
      </c>
      <c r="AR17" s="100" t="s">
        <v>684</v>
      </c>
      <c r="AS17" s="100"/>
      <c r="AT17" s="100" t="s">
        <v>75</v>
      </c>
    </row>
    <row r="18" spans="3:47" ht="12" customHeight="1" x14ac:dyDescent="0.25">
      <c r="C18" s="510" t="str">
        <f>"R-SH_Apt"&amp;"_"&amp;RIGHT(E18,3)&amp;"_HPN1"</f>
        <v>R-SH_Apt_ELC_HPN1</v>
      </c>
      <c r="D18" s="513" t="s">
        <v>109</v>
      </c>
      <c r="E18" s="511" t="s">
        <v>144</v>
      </c>
      <c r="F18" s="511" t="s">
        <v>539</v>
      </c>
      <c r="G18" s="511" t="s">
        <v>612</v>
      </c>
      <c r="H18" s="510">
        <v>1</v>
      </c>
      <c r="I18" s="513">
        <f>JRC_Data!AD16/JRC_Data!$AC$16</f>
        <v>1.0666666666666667</v>
      </c>
      <c r="J18" s="513">
        <f>JRC_Data!AE16/JRC_Data!$AC$16</f>
        <v>1.2333333333333334</v>
      </c>
      <c r="K18" s="560">
        <f>JRC_Data!AF16/JRC_Data!$AC$16</f>
        <v>1.3333333333333333</v>
      </c>
      <c r="L18" s="510"/>
      <c r="M18" s="513"/>
      <c r="N18" s="513"/>
      <c r="O18" s="560"/>
      <c r="P18" s="510"/>
      <c r="Q18" s="513"/>
      <c r="R18" s="513"/>
      <c r="S18" s="560"/>
      <c r="T18" s="538">
        <v>20</v>
      </c>
      <c r="U18" s="513"/>
      <c r="V18" s="510">
        <f>(JRC_Data!BB16/1000)*($U$286/$U$289)</f>
        <v>2.1281632653061227</v>
      </c>
      <c r="W18" s="513">
        <f>(JRC_Data!BC16/1000)*($U$286/$U$289)</f>
        <v>2.0314285714285716</v>
      </c>
      <c r="X18" s="513">
        <f>(JRC_Data!BD16/1000)*($U$286/$U$289)</f>
        <v>1.8379591836734692</v>
      </c>
      <c r="Y18" s="513">
        <f>(JRC_Data!BE16/1000)*($U$286/$U$289)</f>
        <v>1.7412244897959184</v>
      </c>
      <c r="Z18" s="560">
        <f>JRC_Data!BL16/1000</f>
        <v>3.4000000000000002E-2</v>
      </c>
      <c r="AA18" s="511"/>
      <c r="AB18" s="539"/>
      <c r="AC18" s="539"/>
      <c r="AD18" s="539"/>
      <c r="AE18" s="539"/>
      <c r="AF18" s="539"/>
      <c r="AG18" s="539"/>
      <c r="AH18" s="510">
        <f>31.536*(AK18/1000)</f>
        <v>0.47304000000000002</v>
      </c>
      <c r="AI18" s="511"/>
      <c r="AJ18" s="511">
        <v>2100</v>
      </c>
      <c r="AK18" s="540">
        <v>15</v>
      </c>
      <c r="AM18" s="100"/>
      <c r="AN18" s="205" t="str">
        <f t="shared" si="15"/>
        <v>R-SH_Apt_ELC_HPN2-ABD</v>
      </c>
      <c r="AO18" s="205" t="str">
        <f t="shared" si="16"/>
        <v>Residential Electric Heat Pump AB - Air to Water - SH - D rated dwelling</v>
      </c>
      <c r="AP18" s="100" t="s">
        <v>13</v>
      </c>
      <c r="AQ18" s="118" t="s">
        <v>119</v>
      </c>
      <c r="AR18" s="100" t="s">
        <v>684</v>
      </c>
      <c r="AS18" s="100"/>
      <c r="AT18" s="100" t="s">
        <v>75</v>
      </c>
      <c r="AU18" s="4"/>
    </row>
    <row r="19" spans="3:47" ht="12" customHeight="1" thickBot="1" x14ac:dyDescent="0.3">
      <c r="C19" s="523" t="str">
        <f>"R-HC_Apt"&amp;"_"&amp;RIGHT(E19,3)&amp;"_HPN1"</f>
        <v>R-HC_Apt_ELC_HPN1</v>
      </c>
      <c r="D19" s="524" t="s">
        <v>110</v>
      </c>
      <c r="E19" s="524" t="s">
        <v>144</v>
      </c>
      <c r="F19" s="524" t="s">
        <v>539</v>
      </c>
      <c r="G19" s="524" t="s">
        <v>614</v>
      </c>
      <c r="H19" s="523">
        <v>1</v>
      </c>
      <c r="I19" s="526">
        <f>JRC_Data!AD16/JRC_Data!$AC$16</f>
        <v>1.0666666666666667</v>
      </c>
      <c r="J19" s="526">
        <f>JRC_Data!AE16/JRC_Data!$AC$16</f>
        <v>1.2333333333333334</v>
      </c>
      <c r="K19" s="561">
        <f>JRC_Data!AF16/JRC_Data!$AC$16</f>
        <v>1.3333333333333333</v>
      </c>
      <c r="L19" s="523">
        <f>H19*0.9</f>
        <v>0.9</v>
      </c>
      <c r="M19" s="526">
        <f t="shared" ref="M19:O19" si="17">I19*0.9</f>
        <v>0.96</v>
      </c>
      <c r="N19" s="526">
        <f t="shared" si="17"/>
        <v>1.1100000000000001</v>
      </c>
      <c r="O19" s="561">
        <f t="shared" si="17"/>
        <v>1.2</v>
      </c>
      <c r="P19" s="523"/>
      <c r="Q19" s="526"/>
      <c r="R19" s="526"/>
      <c r="S19" s="561"/>
      <c r="T19" s="541">
        <v>20</v>
      </c>
      <c r="U19" s="526"/>
      <c r="V19" s="523">
        <f>(JRC_Data!BB16/1000)*($U$287/$U$289)</f>
        <v>2.1461224489795923</v>
      </c>
      <c r="W19" s="526">
        <f>(JRC_Data!BC16/1000)*($U$287/$U$289)</f>
        <v>2.0485714285714289</v>
      </c>
      <c r="X19" s="526">
        <f>(JRC_Data!BD16/1000)*($U$287/$U$289)</f>
        <v>1.8534693877551021</v>
      </c>
      <c r="Y19" s="526">
        <f>(JRC_Data!BE16/1000)*($U$287/$U$289)</f>
        <v>1.755918367346939</v>
      </c>
      <c r="Z19" s="561">
        <f>JRC_Data!BL16/1000</f>
        <v>3.4000000000000002E-2</v>
      </c>
      <c r="AA19" s="524"/>
      <c r="AB19" s="542"/>
      <c r="AC19" s="542"/>
      <c r="AD19" s="542"/>
      <c r="AE19" s="542"/>
      <c r="AF19" s="542"/>
      <c r="AG19" s="542"/>
      <c r="AH19" s="523">
        <f t="shared" ref="AH19:AH31" si="18">31.536*(AK19/1000)</f>
        <v>0.47304000000000002</v>
      </c>
      <c r="AI19" s="524"/>
      <c r="AJ19" s="524">
        <v>2100</v>
      </c>
      <c r="AK19" s="543">
        <v>15</v>
      </c>
      <c r="AM19" s="100"/>
      <c r="AN19" s="205" t="str">
        <f t="shared" si="15"/>
        <v>R-SH_Apt_ELC_HPN2-ABE</v>
      </c>
      <c r="AO19" s="205" t="str">
        <f t="shared" si="16"/>
        <v>Residential Electric Heat Pump AB - Air to Water - SH - E rated dwelling</v>
      </c>
      <c r="AP19" s="100" t="s">
        <v>13</v>
      </c>
      <c r="AQ19" s="118" t="s">
        <v>119</v>
      </c>
      <c r="AR19" s="100" t="s">
        <v>684</v>
      </c>
      <c r="AS19" s="100"/>
      <c r="AT19" s="100" t="s">
        <v>75</v>
      </c>
      <c r="AU19" s="4"/>
    </row>
    <row r="20" spans="3:47" ht="12" customHeight="1" x14ac:dyDescent="0.25">
      <c r="C20" s="510" t="str">
        <f>"R-SH_Apt"&amp;"_"&amp;RIGHT(E20,3)&amp;"_HPN2-AB"</f>
        <v>R-SH_Apt_ELC_HPN2-AB</v>
      </c>
      <c r="D20" s="511" t="s">
        <v>759</v>
      </c>
      <c r="E20" s="511" t="s">
        <v>144</v>
      </c>
      <c r="F20" s="511" t="s">
        <v>539</v>
      </c>
      <c r="G20" s="511" t="s">
        <v>603</v>
      </c>
      <c r="H20" s="510">
        <f>JRC_Data!$AC$18/JRC_Data!$AC$16</f>
        <v>1</v>
      </c>
      <c r="I20" s="513">
        <f>JRC_Data!$AD$18/JRC_Data!$AC$16</f>
        <v>1.0999999999999999</v>
      </c>
      <c r="J20" s="513">
        <f>JRC_Data!$AE$18/JRC_Data!$AC$16</f>
        <v>1.2333333333333334</v>
      </c>
      <c r="K20" s="560">
        <f>JRC_Data!$AF$18/JRC_Data!$AC$16</f>
        <v>1.3333333333333333</v>
      </c>
      <c r="L20" s="510"/>
      <c r="M20" s="513"/>
      <c r="N20" s="513"/>
      <c r="O20" s="560"/>
      <c r="P20" s="510"/>
      <c r="Q20" s="513"/>
      <c r="R20" s="513"/>
      <c r="S20" s="560"/>
      <c r="T20" s="538">
        <v>20</v>
      </c>
      <c r="U20" s="513"/>
      <c r="V20" s="510">
        <f>JRC_Data!BC18/1000*($U$286/$U$285)</f>
        <v>10.533333333333331</v>
      </c>
      <c r="W20" s="510">
        <f>JRC_Data!BD18/1000*($U$286/$U$285)</f>
        <v>10.533333333333331</v>
      </c>
      <c r="X20" s="510">
        <f>JRC_Data!BE18/1000*($U$286/$U$285)</f>
        <v>9.4799999999999986</v>
      </c>
      <c r="Y20" s="510">
        <f>JRC_Data!BF18/1000*($U$286/$U$285)</f>
        <v>9.4799999999999986</v>
      </c>
      <c r="Z20" s="560">
        <f>JRC_Data!$BL$18/1000</f>
        <v>0.15</v>
      </c>
      <c r="AA20" s="511"/>
      <c r="AB20" s="539"/>
      <c r="AC20" s="539"/>
      <c r="AD20" s="539"/>
      <c r="AE20" s="539"/>
      <c r="AF20" s="539"/>
      <c r="AG20" s="539"/>
      <c r="AH20" s="510">
        <f t="shared" si="18"/>
        <v>0.47304000000000002</v>
      </c>
      <c r="AI20" s="511"/>
      <c r="AJ20" s="511">
        <v>2019</v>
      </c>
      <c r="AK20" s="540">
        <v>15</v>
      </c>
      <c r="AM20" s="100"/>
      <c r="AN20" s="205" t="str">
        <f t="shared" si="15"/>
        <v>R-SH_Apt_ELC_HPN2-ABF</v>
      </c>
      <c r="AO20" s="205" t="str">
        <f t="shared" si="16"/>
        <v>Residential Electric Heat Pump AB- Air to Water - SH -F rated dwelling</v>
      </c>
      <c r="AP20" s="100" t="s">
        <v>13</v>
      </c>
      <c r="AQ20" s="118" t="s">
        <v>119</v>
      </c>
      <c r="AR20" s="100" t="s">
        <v>684</v>
      </c>
      <c r="AS20" s="100"/>
      <c r="AT20" s="100" t="s">
        <v>75</v>
      </c>
      <c r="AU20" s="4"/>
    </row>
    <row r="21" spans="3:47" ht="12" customHeight="1" x14ac:dyDescent="0.25">
      <c r="C21" s="519" t="str">
        <f>"R-SH_Apt"&amp;"_"&amp;RIGHT(E20,3)&amp;"_HPN2-ABC"</f>
        <v>R-SH_Apt_ELC_HPN2-ABC</v>
      </c>
      <c r="D21" s="24" t="s">
        <v>758</v>
      </c>
      <c r="E21" s="24" t="s">
        <v>144</v>
      </c>
      <c r="F21" s="24" t="s">
        <v>539</v>
      </c>
      <c r="G21" s="24" t="s">
        <v>604</v>
      </c>
      <c r="H21" s="519">
        <f>JRC_Data!$AC$18/JRC_Data!$AC$16</f>
        <v>1</v>
      </c>
      <c r="I21" s="23">
        <f>JRC_Data!$AD$18/JRC_Data!$AC$16</f>
        <v>1.0999999999999999</v>
      </c>
      <c r="J21" s="23">
        <f>JRC_Data!$AE$18/JRC_Data!$AC$16</f>
        <v>1.2333333333333334</v>
      </c>
      <c r="K21" s="562">
        <f>JRC_Data!$AF$18/JRC_Data!$AC$16</f>
        <v>1.3333333333333333</v>
      </c>
      <c r="L21" s="519"/>
      <c r="M21" s="23"/>
      <c r="N21" s="23"/>
      <c r="O21" s="562"/>
      <c r="P21" s="519"/>
      <c r="Q21" s="23"/>
      <c r="R21" s="23"/>
      <c r="S21" s="562"/>
      <c r="T21" s="450">
        <v>20</v>
      </c>
      <c r="U21" s="23"/>
      <c r="V21" s="519">
        <v>10.533333333333331</v>
      </c>
      <c r="W21" s="23">
        <v>10.533333333333331</v>
      </c>
      <c r="X21" s="23">
        <v>9.4799999999999986</v>
      </c>
      <c r="Y21" s="23">
        <v>9.4799999999999986</v>
      </c>
      <c r="Z21" s="562">
        <v>0.15</v>
      </c>
      <c r="AA21" s="24"/>
      <c r="AB21" s="32"/>
      <c r="AC21" s="32"/>
      <c r="AD21" s="32"/>
      <c r="AE21" s="32"/>
      <c r="AF21" s="32"/>
      <c r="AG21" s="32"/>
      <c r="AH21" s="519">
        <f t="shared" ref="AH21:AH25" si="19">31.536*(AK21/1000)</f>
        <v>0.47304000000000002</v>
      </c>
      <c r="AI21" s="24"/>
      <c r="AJ21" s="24">
        <v>2019</v>
      </c>
      <c r="AK21" s="544">
        <v>15</v>
      </c>
      <c r="AM21" s="100"/>
      <c r="AN21" s="205" t="str">
        <f t="shared" si="15"/>
        <v>R-SH_Apt_ELC_HPN2-ABG</v>
      </c>
      <c r="AO21" s="205" t="str">
        <f t="shared" si="16"/>
        <v>Residential Electric Heat Pump AB - Air to Water - SH - G rated dwelling</v>
      </c>
      <c r="AP21" s="100" t="s">
        <v>13</v>
      </c>
      <c r="AQ21" s="118" t="s">
        <v>119</v>
      </c>
      <c r="AR21" s="100" t="s">
        <v>684</v>
      </c>
      <c r="AS21" s="100"/>
      <c r="AT21" s="100" t="s">
        <v>75</v>
      </c>
      <c r="AU21" s="4"/>
    </row>
    <row r="22" spans="3:47" ht="12" customHeight="1" x14ac:dyDescent="0.25">
      <c r="C22" s="521" t="str">
        <f>"R-SH_Apt"&amp;"_"&amp;RIGHT(E21,3)&amp;"_HPN2-ABD"</f>
        <v>R-SH_Apt_ELC_HPN2-ABD</v>
      </c>
      <c r="D22" s="30" t="s">
        <v>760</v>
      </c>
      <c r="E22" s="30" t="s">
        <v>144</v>
      </c>
      <c r="F22" s="30" t="s">
        <v>539</v>
      </c>
      <c r="G22" s="30" t="s">
        <v>605</v>
      </c>
      <c r="H22" s="521">
        <f>JRC_Data!$AC$18/JRC_Data!$AC$16</f>
        <v>1</v>
      </c>
      <c r="I22" s="29">
        <f>JRC_Data!$AD$18/JRC_Data!$AC$16</f>
        <v>1.0999999999999999</v>
      </c>
      <c r="J22" s="29">
        <f>JRC_Data!$AE$18/JRC_Data!$AC$16</f>
        <v>1.2333333333333334</v>
      </c>
      <c r="K22" s="563">
        <f>JRC_Data!$AF$18/JRC_Data!$AC$16</f>
        <v>1.3333333333333333</v>
      </c>
      <c r="L22" s="521"/>
      <c r="M22" s="29"/>
      <c r="N22" s="29"/>
      <c r="O22" s="563"/>
      <c r="P22" s="521"/>
      <c r="Q22" s="29"/>
      <c r="R22" s="29"/>
      <c r="S22" s="563"/>
      <c r="T22" s="451">
        <v>20</v>
      </c>
      <c r="U22" s="29"/>
      <c r="V22" s="521">
        <v>10.533333333333331</v>
      </c>
      <c r="W22" s="29">
        <v>10.533333333333331</v>
      </c>
      <c r="X22" s="29">
        <v>9.4799999999999986</v>
      </c>
      <c r="Y22" s="29">
        <v>9.4799999999999986</v>
      </c>
      <c r="Z22" s="563">
        <v>0.15</v>
      </c>
      <c r="AA22" s="30"/>
      <c r="AB22" s="31"/>
      <c r="AC22" s="31"/>
      <c r="AD22" s="31"/>
      <c r="AE22" s="31"/>
      <c r="AF22" s="31"/>
      <c r="AG22" s="31"/>
      <c r="AH22" s="521">
        <f t="shared" si="19"/>
        <v>0.47304000000000002</v>
      </c>
      <c r="AI22" s="30"/>
      <c r="AJ22" s="30">
        <v>2019</v>
      </c>
      <c r="AK22" s="545">
        <v>15</v>
      </c>
      <c r="AM22" s="100"/>
      <c r="AN22" s="205" t="str">
        <f t="shared" ref="AN22:AO27" si="20">C26</f>
        <v>R-SH_Apt_ELC_HPN2-C</v>
      </c>
      <c r="AO22" s="205" t="str">
        <f t="shared" si="20"/>
        <v>Residential Electric Heat Pump - Air to Water - SH - C rated dwelling</v>
      </c>
      <c r="AP22" s="100" t="s">
        <v>13</v>
      </c>
      <c r="AQ22" s="116" t="s">
        <v>119</v>
      </c>
      <c r="AR22" s="100" t="s">
        <v>684</v>
      </c>
      <c r="AS22" s="100"/>
      <c r="AT22" s="100" t="s">
        <v>75</v>
      </c>
      <c r="AU22" s="4"/>
    </row>
    <row r="23" spans="3:47" ht="12" customHeight="1" x14ac:dyDescent="0.25">
      <c r="C23" s="519" t="str">
        <f>"R-SH_Apt"&amp;"_"&amp;RIGHT(E22,3)&amp;"_HPN2-ABE"</f>
        <v>R-SH_Apt_ELC_HPN2-ABE</v>
      </c>
      <c r="D23" s="24" t="s">
        <v>761</v>
      </c>
      <c r="E23" s="24" t="s">
        <v>144</v>
      </c>
      <c r="F23" s="24" t="s">
        <v>539</v>
      </c>
      <c r="G23" s="24" t="s">
        <v>606</v>
      </c>
      <c r="H23" s="519">
        <f>JRC_Data!$AC$18/JRC_Data!$AC$16</f>
        <v>1</v>
      </c>
      <c r="I23" s="23">
        <f>JRC_Data!$AD$18/JRC_Data!$AC$16</f>
        <v>1.0999999999999999</v>
      </c>
      <c r="J23" s="23">
        <f>JRC_Data!$AE$18/JRC_Data!$AC$16</f>
        <v>1.2333333333333334</v>
      </c>
      <c r="K23" s="562">
        <f>JRC_Data!$AF$18/JRC_Data!$AC$16</f>
        <v>1.3333333333333333</v>
      </c>
      <c r="L23" s="519"/>
      <c r="M23" s="23"/>
      <c r="N23" s="23"/>
      <c r="O23" s="562"/>
      <c r="P23" s="519"/>
      <c r="Q23" s="23"/>
      <c r="R23" s="23"/>
      <c r="S23" s="562"/>
      <c r="T23" s="450">
        <v>20</v>
      </c>
      <c r="U23" s="23"/>
      <c r="V23" s="519">
        <v>10.533333333333331</v>
      </c>
      <c r="W23" s="23">
        <v>10.533333333333331</v>
      </c>
      <c r="X23" s="23">
        <v>9.4799999999999986</v>
      </c>
      <c r="Y23" s="23">
        <v>9.4799999999999986</v>
      </c>
      <c r="Z23" s="562">
        <v>0.15</v>
      </c>
      <c r="AA23" s="24"/>
      <c r="AB23" s="32"/>
      <c r="AC23" s="32"/>
      <c r="AD23" s="32"/>
      <c r="AE23" s="32"/>
      <c r="AF23" s="32"/>
      <c r="AG23" s="32"/>
      <c r="AH23" s="519">
        <f t="shared" si="19"/>
        <v>0.47304000000000002</v>
      </c>
      <c r="AI23" s="24"/>
      <c r="AJ23" s="24">
        <v>2019</v>
      </c>
      <c r="AK23" s="544">
        <v>15</v>
      </c>
      <c r="AM23" s="100"/>
      <c r="AN23" s="205" t="str">
        <f t="shared" si="20"/>
        <v>R-SH_Apt_ELC_HPN2-D</v>
      </c>
      <c r="AO23" s="205" t="str">
        <f t="shared" si="20"/>
        <v>Residential Electric Heat Pump - Air to Water - SH - D rated dwelling</v>
      </c>
      <c r="AP23" s="100" t="s">
        <v>13</v>
      </c>
      <c r="AQ23" s="116" t="s">
        <v>119</v>
      </c>
      <c r="AR23" s="100" t="s">
        <v>684</v>
      </c>
      <c r="AS23" s="100"/>
      <c r="AT23" s="100" t="s">
        <v>75</v>
      </c>
      <c r="AU23" s="4"/>
    </row>
    <row r="24" spans="3:47" ht="12" customHeight="1" x14ac:dyDescent="0.25">
      <c r="C24" s="521" t="str">
        <f>"R-SH_Apt"&amp;"_"&amp;RIGHT(E23,3)&amp;"_HPN2-ABF"</f>
        <v>R-SH_Apt_ELC_HPN2-ABF</v>
      </c>
      <c r="D24" s="30" t="s">
        <v>762</v>
      </c>
      <c r="E24" s="30" t="s">
        <v>144</v>
      </c>
      <c r="F24" s="30" t="s">
        <v>539</v>
      </c>
      <c r="G24" s="30" t="s">
        <v>607</v>
      </c>
      <c r="H24" s="521">
        <f>JRC_Data!$AC$18/JRC_Data!$AC$16</f>
        <v>1</v>
      </c>
      <c r="I24" s="29">
        <f>JRC_Data!$AD$18/JRC_Data!$AC$16</f>
        <v>1.0999999999999999</v>
      </c>
      <c r="J24" s="29">
        <f>JRC_Data!$AE$18/JRC_Data!$AC$16</f>
        <v>1.2333333333333334</v>
      </c>
      <c r="K24" s="563">
        <f>JRC_Data!$AF$18/JRC_Data!$AC$16</f>
        <v>1.3333333333333333</v>
      </c>
      <c r="L24" s="521"/>
      <c r="M24" s="29"/>
      <c r="N24" s="29"/>
      <c r="O24" s="563"/>
      <c r="P24" s="521"/>
      <c r="Q24" s="29"/>
      <c r="R24" s="29"/>
      <c r="S24" s="563"/>
      <c r="T24" s="451">
        <v>20</v>
      </c>
      <c r="U24" s="29"/>
      <c r="V24" s="521">
        <v>10.533333333333331</v>
      </c>
      <c r="W24" s="29">
        <v>10.533333333333331</v>
      </c>
      <c r="X24" s="29">
        <v>9.4799999999999986</v>
      </c>
      <c r="Y24" s="29">
        <v>9.4799999999999986</v>
      </c>
      <c r="Z24" s="563">
        <v>0.15</v>
      </c>
      <c r="AA24" s="30"/>
      <c r="AB24" s="31"/>
      <c r="AC24" s="31"/>
      <c r="AD24" s="31"/>
      <c r="AE24" s="31"/>
      <c r="AF24" s="31"/>
      <c r="AG24" s="31"/>
      <c r="AH24" s="521">
        <f t="shared" si="19"/>
        <v>0.47304000000000002</v>
      </c>
      <c r="AI24" s="30"/>
      <c r="AJ24" s="30">
        <v>2019</v>
      </c>
      <c r="AK24" s="545">
        <v>15</v>
      </c>
      <c r="AM24" s="100"/>
      <c r="AN24" s="205" t="str">
        <f t="shared" si="20"/>
        <v>R-SH_Apt_ELC_HPN2-E</v>
      </c>
      <c r="AO24" s="205" t="str">
        <f t="shared" si="20"/>
        <v>Residential Electric Heat Pump - Air to Water - SH - E rated dwelling</v>
      </c>
      <c r="AP24" s="100" t="s">
        <v>13</v>
      </c>
      <c r="AQ24" s="118" t="s">
        <v>119</v>
      </c>
      <c r="AR24" s="100" t="s">
        <v>684</v>
      </c>
      <c r="AS24" s="100"/>
      <c r="AT24" s="100" t="s">
        <v>75</v>
      </c>
      <c r="AU24" s="4"/>
    </row>
    <row r="25" spans="3:47" ht="12" customHeight="1" x14ac:dyDescent="0.25">
      <c r="C25" s="552" t="str">
        <f>"R-SH_Apt"&amp;"_"&amp;RIGHT(E24,3)&amp;"_HPN2-ABG"</f>
        <v>R-SH_Apt_ELC_HPN2-ABG</v>
      </c>
      <c r="D25" s="27" t="s">
        <v>763</v>
      </c>
      <c r="E25" s="27" t="s">
        <v>144</v>
      </c>
      <c r="F25" s="27" t="s">
        <v>539</v>
      </c>
      <c r="G25" s="27" t="s">
        <v>628</v>
      </c>
      <c r="H25" s="552">
        <f>JRC_Data!$AC$18/JRC_Data!$AC$16</f>
        <v>1</v>
      </c>
      <c r="I25" s="26">
        <f>JRC_Data!$AD$18/JRC_Data!$AC$16</f>
        <v>1.0999999999999999</v>
      </c>
      <c r="J25" s="26">
        <f>JRC_Data!$AE$18/JRC_Data!$AC$16</f>
        <v>1.2333333333333334</v>
      </c>
      <c r="K25" s="564">
        <f>JRC_Data!$AF$18/JRC_Data!$AC$16</f>
        <v>1.3333333333333333</v>
      </c>
      <c r="L25" s="552"/>
      <c r="M25" s="26"/>
      <c r="N25" s="26"/>
      <c r="O25" s="564"/>
      <c r="P25" s="552"/>
      <c r="Q25" s="26"/>
      <c r="R25" s="26"/>
      <c r="S25" s="564"/>
      <c r="T25" s="449">
        <v>20</v>
      </c>
      <c r="U25" s="26"/>
      <c r="V25" s="552">
        <v>10.533333333333331</v>
      </c>
      <c r="W25" s="26">
        <v>10.533333333333331</v>
      </c>
      <c r="X25" s="26">
        <v>9.4799999999999986</v>
      </c>
      <c r="Y25" s="26">
        <v>9.4799999999999986</v>
      </c>
      <c r="Z25" s="564">
        <v>0.15</v>
      </c>
      <c r="AA25" s="27"/>
      <c r="AB25" s="50"/>
      <c r="AC25" s="50"/>
      <c r="AD25" s="50"/>
      <c r="AE25" s="50"/>
      <c r="AF25" s="50"/>
      <c r="AG25" s="50"/>
      <c r="AH25" s="552">
        <f t="shared" si="19"/>
        <v>0.47304000000000002</v>
      </c>
      <c r="AI25" s="27"/>
      <c r="AJ25" s="27">
        <v>2019</v>
      </c>
      <c r="AK25" s="553">
        <v>15</v>
      </c>
      <c r="AM25" s="100"/>
      <c r="AN25" s="205" t="str">
        <f t="shared" si="20"/>
        <v>R-SH_Apt_ELC_HPN2-F</v>
      </c>
      <c r="AO25" s="205" t="str">
        <f t="shared" si="20"/>
        <v>Residential Electric Heat Pump - Air to Water - SH - F rated dwelling</v>
      </c>
      <c r="AP25" s="100" t="s">
        <v>13</v>
      </c>
      <c r="AQ25" s="116" t="s">
        <v>119</v>
      </c>
      <c r="AR25" s="100" t="s">
        <v>684</v>
      </c>
      <c r="AS25" s="100"/>
      <c r="AT25" s="100" t="s">
        <v>75</v>
      </c>
      <c r="AU25" s="4"/>
    </row>
    <row r="26" spans="3:47" ht="12" customHeight="1" x14ac:dyDescent="0.25">
      <c r="C26" s="521" t="str">
        <f>"R-SH_Apt"&amp;"_"&amp;RIGHT(E26,3)&amp;"_HPN2-C"</f>
        <v>R-SH_Apt_ELC_HPN2-C</v>
      </c>
      <c r="D26" s="30" t="s">
        <v>608</v>
      </c>
      <c r="E26" s="30" t="s">
        <v>144</v>
      </c>
      <c r="F26" s="30" t="s">
        <v>539</v>
      </c>
      <c r="G26" s="30" t="s">
        <v>604</v>
      </c>
      <c r="H26" s="521">
        <f>(JRC_Data!$AC$18/JRC_Data!$AC$16)*AK310</f>
        <v>0.95144144144144138</v>
      </c>
      <c r="I26" s="29">
        <f>(JRC_Data!$AD$18/JRC_Data!$AC$16)*AK310</f>
        <v>1.0465855855855855</v>
      </c>
      <c r="J26" s="29">
        <f>(JRC_Data!$AE$18/JRC_Data!$AC$16)*AK310</f>
        <v>1.1734444444444445</v>
      </c>
      <c r="K26" s="563">
        <f>(JRC_Data!$AF$18/JRC_Data!$AC$16)*AK310</f>
        <v>1.2685885885885884</v>
      </c>
      <c r="L26" s="521"/>
      <c r="M26" s="29"/>
      <c r="N26" s="29"/>
      <c r="O26" s="563"/>
      <c r="P26" s="521"/>
      <c r="Q26" s="29"/>
      <c r="R26" s="29"/>
      <c r="S26" s="563"/>
      <c r="T26" s="451">
        <v>20</v>
      </c>
      <c r="U26" s="29"/>
      <c r="V26" s="521">
        <f>JRC_Data!BC18/1000*($U$286/$U$285)+RSD_Heating!$AH$310/1000</f>
        <v>11.105327833333332</v>
      </c>
      <c r="W26" s="521">
        <f>JRC_Data!BD18/1000*($U$286/$U$285)+RSD_Heating!$AH$310/1000</f>
        <v>11.105327833333332</v>
      </c>
      <c r="X26" s="521">
        <f>JRC_Data!BE18/1000*($U$286/$U$285)+RSD_Heating!$AH$310/1000</f>
        <v>10.051994499999999</v>
      </c>
      <c r="Y26" s="521">
        <f>JRC_Data!BF18/1000*($U$286/$U$285)+RSD_Heating!$AH$310/1000</f>
        <v>10.051994499999999</v>
      </c>
      <c r="Z26" s="563">
        <f>JRC_Data!$BL$18/1000</f>
        <v>0.15</v>
      </c>
      <c r="AA26" s="30"/>
      <c r="AB26" s="31"/>
      <c r="AC26" s="31"/>
      <c r="AD26" s="31"/>
      <c r="AE26" s="31"/>
      <c r="AF26" s="31"/>
      <c r="AG26" s="31"/>
      <c r="AH26" s="521">
        <f t="shared" ref="AH26:AH30" si="21">31.536*(AK26/1000)</f>
        <v>0.47304000000000002</v>
      </c>
      <c r="AI26" s="30"/>
      <c r="AJ26" s="30">
        <f>IF($A$2="No",2100,2019)</f>
        <v>2100</v>
      </c>
      <c r="AK26" s="545">
        <v>15</v>
      </c>
      <c r="AM26" s="100"/>
      <c r="AN26" s="205" t="str">
        <f t="shared" si="20"/>
        <v>R-SH_Apt_ELC_HPN2-G</v>
      </c>
      <c r="AO26" s="205" t="str">
        <f t="shared" si="20"/>
        <v>Residential Electric Heat Pump - Air to Water - SH - G rated dwelling</v>
      </c>
      <c r="AP26" s="100" t="s">
        <v>13</v>
      </c>
      <c r="AQ26" s="116" t="s">
        <v>119</v>
      </c>
      <c r="AR26" s="100" t="s">
        <v>684</v>
      </c>
      <c r="AS26" s="100"/>
      <c r="AT26" s="100" t="s">
        <v>75</v>
      </c>
      <c r="AU26" s="4"/>
    </row>
    <row r="27" spans="3:47" ht="12" customHeight="1" x14ac:dyDescent="0.25">
      <c r="C27" s="519" t="str">
        <f>"R-SH_Apt"&amp;"_"&amp;RIGHT(E27,3)&amp;"_HPN2-D"</f>
        <v>R-SH_Apt_ELC_HPN2-D</v>
      </c>
      <c r="D27" s="24" t="s">
        <v>609</v>
      </c>
      <c r="E27" s="24" t="s">
        <v>144</v>
      </c>
      <c r="F27" s="24" t="s">
        <v>539</v>
      </c>
      <c r="G27" s="24" t="s">
        <v>605</v>
      </c>
      <c r="H27" s="519">
        <f>(JRC_Data!$AC$18/JRC_Data!$AC$16)*AK311</f>
        <v>0.90288288288288288</v>
      </c>
      <c r="I27" s="23">
        <f>(JRC_Data!$AD$18/JRC_Data!$AC$16)*AK311</f>
        <v>0.99317117117117104</v>
      </c>
      <c r="J27" s="23">
        <f>(JRC_Data!$AE$18/JRC_Data!$AC$16)*AK311</f>
        <v>1.1135555555555556</v>
      </c>
      <c r="K27" s="562">
        <f>(JRC_Data!$AF$18/JRC_Data!$AC$16)*AK311</f>
        <v>1.2038438438438437</v>
      </c>
      <c r="L27" s="519"/>
      <c r="M27" s="23"/>
      <c r="N27" s="23"/>
      <c r="O27" s="562"/>
      <c r="P27" s="519"/>
      <c r="Q27" s="23"/>
      <c r="R27" s="23"/>
      <c r="S27" s="562"/>
      <c r="T27" s="450">
        <v>20</v>
      </c>
      <c r="U27" s="23"/>
      <c r="V27" s="519">
        <f>JRC_Data!BC18/1000*($U$286/$U$285)+RSD_Heating!$AH$311/1000</f>
        <v>11.677322333333331</v>
      </c>
      <c r="W27" s="519">
        <f>JRC_Data!BD18/1000*($U$286/$U$285)+RSD_Heating!$AH$311/1000</f>
        <v>11.677322333333331</v>
      </c>
      <c r="X27" s="519">
        <f>JRC_Data!BE18/1000*($U$286/$U$285)+RSD_Heating!$AH$311/1000</f>
        <v>10.623988999999998</v>
      </c>
      <c r="Y27" s="519">
        <f>JRC_Data!BF18/1000*($U$286/$U$285)+RSD_Heating!$AH$311/1000</f>
        <v>10.623988999999998</v>
      </c>
      <c r="Z27" s="562">
        <f>JRC_Data!$BL$18/1000</f>
        <v>0.15</v>
      </c>
      <c r="AA27" s="24"/>
      <c r="AB27" s="32"/>
      <c r="AC27" s="32"/>
      <c r="AD27" s="32"/>
      <c r="AE27" s="32"/>
      <c r="AF27" s="32"/>
      <c r="AG27" s="32"/>
      <c r="AH27" s="519">
        <f t="shared" si="21"/>
        <v>0.47304000000000002</v>
      </c>
      <c r="AI27" s="24"/>
      <c r="AJ27" s="24">
        <f>IF($A$2="No",2100,2019)</f>
        <v>2100</v>
      </c>
      <c r="AK27" s="544">
        <v>15</v>
      </c>
      <c r="AM27" s="100"/>
      <c r="AN27" s="205" t="str">
        <f t="shared" si="20"/>
        <v>R-SW_Apt_ELC_HPN1-AB</v>
      </c>
      <c r="AO27" s="205" t="str">
        <f t="shared" si="20"/>
        <v>Residential Electric Heat Pump AB - Air to Water - SH + WH - AB rated dwelling</v>
      </c>
      <c r="AP27" s="100" t="s">
        <v>13</v>
      </c>
      <c r="AQ27" s="118" t="s">
        <v>119</v>
      </c>
      <c r="AR27" s="100" t="s">
        <v>684</v>
      </c>
      <c r="AS27" s="100"/>
      <c r="AT27" s="100" t="s">
        <v>75</v>
      </c>
      <c r="AU27" s="4"/>
    </row>
    <row r="28" spans="3:47" ht="12" customHeight="1" x14ac:dyDescent="0.25">
      <c r="C28" s="521" t="str">
        <f>"R-SH_Apt"&amp;"_"&amp;RIGHT(E28,3)&amp;"_HPN2-E"</f>
        <v>R-SH_Apt_ELC_HPN2-E</v>
      </c>
      <c r="D28" s="30" t="s">
        <v>610</v>
      </c>
      <c r="E28" s="30" t="s">
        <v>144</v>
      </c>
      <c r="F28" s="30" t="s">
        <v>539</v>
      </c>
      <c r="G28" s="30" t="s">
        <v>606</v>
      </c>
      <c r="H28" s="521">
        <f>(JRC_Data!$AC$18/JRC_Data!$AC$16)*AK312</f>
        <v>0.85285285285285284</v>
      </c>
      <c r="I28" s="29">
        <f>(JRC_Data!$AD$18/JRC_Data!$AC$16)*AK312</f>
        <v>0.93813813813813796</v>
      </c>
      <c r="J28" s="29">
        <f>(JRC_Data!$AE$18/JRC_Data!$AC$16)*AK312</f>
        <v>1.0518518518518518</v>
      </c>
      <c r="K28" s="563">
        <f>(JRC_Data!$AF$18/JRC_Data!$AC$16)*AK312</f>
        <v>1.137137137137137</v>
      </c>
      <c r="L28" s="521"/>
      <c r="M28" s="29"/>
      <c r="N28" s="29"/>
      <c r="O28" s="563"/>
      <c r="P28" s="521"/>
      <c r="Q28" s="29"/>
      <c r="R28" s="29"/>
      <c r="S28" s="563"/>
      <c r="T28" s="451">
        <v>20</v>
      </c>
      <c r="U28" s="29"/>
      <c r="V28" s="521">
        <f>JRC_Data!BC18/1000*($U$286/$U$285)+RSD_Heating!$AH$312/1000</f>
        <v>12.266649999999998</v>
      </c>
      <c r="W28" s="521">
        <f>JRC_Data!BD18/1000*($U$286/$U$285)+RSD_Heating!$AH$312/1000</f>
        <v>12.266649999999998</v>
      </c>
      <c r="X28" s="521">
        <f>JRC_Data!BE18/1000*($U$286/$U$285)+RSD_Heating!$AH$312/1000</f>
        <v>11.213316666666666</v>
      </c>
      <c r="Y28" s="521">
        <f>JRC_Data!BF18/1000*($U$286/$U$285)+RSD_Heating!$AH$312/1000</f>
        <v>11.213316666666666</v>
      </c>
      <c r="Z28" s="563">
        <f>JRC_Data!$BL$18/1000</f>
        <v>0.15</v>
      </c>
      <c r="AA28" s="30"/>
      <c r="AB28" s="31"/>
      <c r="AC28" s="31"/>
      <c r="AD28" s="31"/>
      <c r="AE28" s="31"/>
      <c r="AF28" s="31"/>
      <c r="AG28" s="31"/>
      <c r="AH28" s="521">
        <f t="shared" si="21"/>
        <v>0.47304000000000002</v>
      </c>
      <c r="AI28" s="30"/>
      <c r="AJ28" s="30">
        <f>IF($A$2="No",2100,2019)</f>
        <v>2100</v>
      </c>
      <c r="AK28" s="545">
        <v>15</v>
      </c>
      <c r="AM28" s="100"/>
      <c r="AN28" s="205" t="str">
        <f t="shared" ref="AN28:AN32" si="22">C32</f>
        <v>R-SW_Apt_ELC_HPN1-ABC</v>
      </c>
      <c r="AO28" s="205" t="str">
        <f t="shared" ref="AO28:AO32" si="23">D32</f>
        <v>Residential Electric Heat Pump AB - Air to Water - SH + WH - C rated dwelling</v>
      </c>
      <c r="AP28" s="100" t="s">
        <v>13</v>
      </c>
      <c r="AQ28" s="118" t="s">
        <v>119</v>
      </c>
      <c r="AR28" s="100" t="s">
        <v>684</v>
      </c>
      <c r="AS28" s="100"/>
      <c r="AT28" s="100" t="s">
        <v>75</v>
      </c>
      <c r="AU28" s="4"/>
    </row>
    <row r="29" spans="3:47" ht="12" customHeight="1" x14ac:dyDescent="0.25">
      <c r="C29" s="519" t="str">
        <f>"R-SH_Apt"&amp;"_"&amp;RIGHT(E29,3)&amp;"_HPN2-F"</f>
        <v>R-SH_Apt_ELC_HPN2-F</v>
      </c>
      <c r="D29" s="24" t="s">
        <v>611</v>
      </c>
      <c r="E29" s="24" t="s">
        <v>144</v>
      </c>
      <c r="F29" s="24" t="s">
        <v>539</v>
      </c>
      <c r="G29" s="24" t="s">
        <v>607</v>
      </c>
      <c r="H29" s="519">
        <f>(JRC_Data!$AC$18/JRC_Data!$AC$16)*AK313</f>
        <v>0.77927927927927931</v>
      </c>
      <c r="I29" s="23">
        <f>(JRC_Data!$AD$18/JRC_Data!$AC$16)*AK313</f>
        <v>0.85720720720720711</v>
      </c>
      <c r="J29" s="23">
        <f>(JRC_Data!$AE$18/JRC_Data!$AC$16)*AK313</f>
        <v>0.96111111111111125</v>
      </c>
      <c r="K29" s="562">
        <f>(JRC_Data!$AF$18/JRC_Data!$AC$16)*AK313</f>
        <v>1.0390390390390389</v>
      </c>
      <c r="L29" s="519"/>
      <c r="M29" s="23"/>
      <c r="N29" s="23"/>
      <c r="O29" s="562"/>
      <c r="P29" s="519"/>
      <c r="Q29" s="23"/>
      <c r="R29" s="23"/>
      <c r="S29" s="562"/>
      <c r="T29" s="450">
        <v>20</v>
      </c>
      <c r="U29" s="23"/>
      <c r="V29" s="519">
        <f>JRC_Data!BC18/1000*($U$286/$U$285)+RSD_Heating!$AH$313/1000</f>
        <v>12.448258333333332</v>
      </c>
      <c r="W29" s="519">
        <f>JRC_Data!BD18/1000*($U$286/$U$285)+RSD_Heating!$AH$313/1000</f>
        <v>12.448258333333332</v>
      </c>
      <c r="X29" s="519">
        <f>JRC_Data!BE18/1000*($U$286/$U$285)+RSD_Heating!$AH$313/1000</f>
        <v>11.394924999999999</v>
      </c>
      <c r="Y29" s="519">
        <f>JRC_Data!BF18/1000*($U$286/$U$285)+RSD_Heating!$AH$313/1000</f>
        <v>11.394924999999999</v>
      </c>
      <c r="Z29" s="562">
        <f>JRC_Data!$BL$18/1000</f>
        <v>0.15</v>
      </c>
      <c r="AA29" s="24"/>
      <c r="AB29" s="32"/>
      <c r="AC29" s="32"/>
      <c r="AD29" s="32"/>
      <c r="AE29" s="32"/>
      <c r="AF29" s="32"/>
      <c r="AG29" s="32"/>
      <c r="AH29" s="519">
        <f t="shared" si="21"/>
        <v>0.47304000000000002</v>
      </c>
      <c r="AI29" s="24"/>
      <c r="AJ29" s="24">
        <f>IF($A$2="No",2100,2019)</f>
        <v>2100</v>
      </c>
      <c r="AK29" s="544">
        <v>15</v>
      </c>
      <c r="AM29" s="100"/>
      <c r="AN29" s="205" t="str">
        <f t="shared" si="22"/>
        <v>R-SW_Apt_ELC_HPN1-ABD</v>
      </c>
      <c r="AO29" s="205" t="str">
        <f t="shared" si="23"/>
        <v>Residential Electric Heat Pump AB - Air to Water - SH + WH - D rated dwelling</v>
      </c>
      <c r="AP29" s="100" t="s">
        <v>13</v>
      </c>
      <c r="AQ29" s="118" t="s">
        <v>119</v>
      </c>
      <c r="AR29" s="100" t="s">
        <v>684</v>
      </c>
      <c r="AS29" s="100"/>
      <c r="AT29" s="100" t="s">
        <v>75</v>
      </c>
      <c r="AU29" s="4"/>
    </row>
    <row r="30" spans="3:47" ht="12" customHeight="1" thickBot="1" x14ac:dyDescent="0.3">
      <c r="C30" s="546" t="str">
        <f>"R-SH_Apt"&amp;"_"&amp;RIGHT(E29,3)&amp;"_HPN2-G"</f>
        <v>R-SH_Apt_ELC_HPN2-G</v>
      </c>
      <c r="D30" s="547" t="s">
        <v>627</v>
      </c>
      <c r="E30" s="547" t="s">
        <v>144</v>
      </c>
      <c r="F30" s="547" t="s">
        <v>539</v>
      </c>
      <c r="G30" s="547" t="s">
        <v>628</v>
      </c>
      <c r="H30" s="546">
        <f>(JRC_Data!$AC$18/JRC_Data!$AC$16)*AK314</f>
        <v>0.70570570570570568</v>
      </c>
      <c r="I30" s="548">
        <f>(JRC_Data!$AD$18/JRC_Data!$AC$16)*AK314</f>
        <v>0.77627627627627616</v>
      </c>
      <c r="J30" s="548">
        <f>(JRC_Data!$AE$18/JRC_Data!$AC$16)*AK314</f>
        <v>0.87037037037037035</v>
      </c>
      <c r="K30" s="565">
        <f>(JRC_Data!$AF$18/JRC_Data!$AC$16)*AK314</f>
        <v>0.94094094094094083</v>
      </c>
      <c r="L30" s="546"/>
      <c r="M30" s="548"/>
      <c r="N30" s="548"/>
      <c r="O30" s="565"/>
      <c r="P30" s="546"/>
      <c r="Q30" s="548"/>
      <c r="R30" s="548"/>
      <c r="S30" s="565"/>
      <c r="T30" s="549">
        <v>20</v>
      </c>
      <c r="U30" s="548"/>
      <c r="V30" s="546">
        <f>JRC_Data!BC18/1000*($U$286/$U$285)+RSD_Heating!$AH$314/1000</f>
        <v>12.629866666666665</v>
      </c>
      <c r="W30" s="546">
        <f>JRC_Data!BD18/1000*($U$286/$U$285)+RSD_Heating!$AH$314/1000</f>
        <v>12.629866666666665</v>
      </c>
      <c r="X30" s="546">
        <f>JRC_Data!BE18/1000*($U$286/$U$285)+RSD_Heating!$AH$314/1000</f>
        <v>11.576533333333332</v>
      </c>
      <c r="Y30" s="546">
        <f>JRC_Data!BF18/1000*($U$286/$U$285)+RSD_Heating!$AH$314/1000</f>
        <v>11.576533333333332</v>
      </c>
      <c r="Z30" s="565">
        <f>JRC_Data!$BL$18/1000</f>
        <v>0.15</v>
      </c>
      <c r="AA30" s="547"/>
      <c r="AB30" s="550"/>
      <c r="AC30" s="550"/>
      <c r="AD30" s="550"/>
      <c r="AE30" s="550"/>
      <c r="AF30" s="550"/>
      <c r="AG30" s="550"/>
      <c r="AH30" s="546">
        <f t="shared" si="21"/>
        <v>0.47304000000000002</v>
      </c>
      <c r="AI30" s="547"/>
      <c r="AJ30" s="547">
        <f>IF($A$2="No",2100,2019)</f>
        <v>2100</v>
      </c>
      <c r="AK30" s="551">
        <v>15</v>
      </c>
      <c r="AM30" s="100"/>
      <c r="AN30" s="205" t="str">
        <f t="shared" si="22"/>
        <v>R-SW_Apt_ELC_HPN1-ABE</v>
      </c>
      <c r="AO30" s="205" t="str">
        <f t="shared" si="23"/>
        <v>Residential Electric Heat Pump AB - Air to Water - SH + WH - E rated dwelling</v>
      </c>
      <c r="AP30" s="100" t="s">
        <v>13</v>
      </c>
      <c r="AQ30" s="118" t="s">
        <v>119</v>
      </c>
      <c r="AR30" s="100" t="s">
        <v>684</v>
      </c>
      <c r="AS30" s="100"/>
      <c r="AT30" s="100" t="s">
        <v>75</v>
      </c>
      <c r="AU30" s="4"/>
    </row>
    <row r="31" spans="3:47" ht="12" customHeight="1" x14ac:dyDescent="0.25">
      <c r="C31" s="554" t="str">
        <f>"R-SW_Apt"&amp;"_"&amp;RIGHT(E31,3)&amp;"_HPN1-AB"</f>
        <v>R-SW_Apt_ELC_HPN1-AB</v>
      </c>
      <c r="D31" s="555" t="s">
        <v>746</v>
      </c>
      <c r="E31" s="555" t="s">
        <v>144</v>
      </c>
      <c r="F31" s="555" t="s">
        <v>565</v>
      </c>
      <c r="G31" s="555" t="s">
        <v>764</v>
      </c>
      <c r="H31" s="554">
        <f>JRC_Data!$AC$18/JRC_Data!$AC$16</f>
        <v>1</v>
      </c>
      <c r="I31" s="556">
        <f>JRC_Data!$AD$18/JRC_Data!$AC$16</f>
        <v>1.0999999999999999</v>
      </c>
      <c r="J31" s="556">
        <f>JRC_Data!$AE$18/JRC_Data!$AC$16</f>
        <v>1.2333333333333334</v>
      </c>
      <c r="K31" s="566">
        <f>JRC_Data!$AF$18/JRC_Data!$AC$16</f>
        <v>1.3333333333333333</v>
      </c>
      <c r="L31" s="554"/>
      <c r="M31" s="556"/>
      <c r="N31" s="556"/>
      <c r="O31" s="566"/>
      <c r="P31" s="554">
        <f>H31*0.7</f>
        <v>0.7</v>
      </c>
      <c r="Q31" s="556">
        <f t="shared" ref="Q31:S31" si="24">I31*0.7</f>
        <v>0.76999999999999991</v>
      </c>
      <c r="R31" s="556">
        <f t="shared" si="24"/>
        <v>0.86333333333333329</v>
      </c>
      <c r="S31" s="566">
        <f t="shared" si="24"/>
        <v>0.93333333333333324</v>
      </c>
      <c r="T31" s="557">
        <v>20</v>
      </c>
      <c r="U31" s="556"/>
      <c r="V31" s="554">
        <f>JRC_Data!BC18/1000*($U$287/$U$285)</f>
        <v>10.622222222222222</v>
      </c>
      <c r="W31" s="554">
        <f>JRC_Data!BD18/1000*($U$287/$U$285)</f>
        <v>10.622222222222222</v>
      </c>
      <c r="X31" s="554">
        <f>JRC_Data!BE18/1000*($U$287/$U$285)</f>
        <v>9.5599999999999987</v>
      </c>
      <c r="Y31" s="554">
        <f>JRC_Data!BF18/1000*($U$287/$U$285)</f>
        <v>9.5599999999999987</v>
      </c>
      <c r="Z31" s="566">
        <f>JRC_Data!$BL$18/1000</f>
        <v>0.15</v>
      </c>
      <c r="AA31" s="555"/>
      <c r="AB31" s="558"/>
      <c r="AC31" s="558"/>
      <c r="AD31" s="558"/>
      <c r="AE31" s="558"/>
      <c r="AF31" s="558"/>
      <c r="AG31" s="558"/>
      <c r="AH31" s="554">
        <f t="shared" si="18"/>
        <v>0.56764799999999993</v>
      </c>
      <c r="AI31" s="555"/>
      <c r="AJ31" s="555">
        <v>2019</v>
      </c>
      <c r="AK31" s="559">
        <v>18</v>
      </c>
      <c r="AM31" s="100"/>
      <c r="AN31" s="205" t="str">
        <f t="shared" si="22"/>
        <v>R-SW_Apt_ELC_HPN1-ABF</v>
      </c>
      <c r="AO31" s="205" t="str">
        <f t="shared" si="23"/>
        <v>Residential Electric Heat Pump AB - Air to Water - SH + WH - F rated dwelling</v>
      </c>
      <c r="AP31" s="100" t="s">
        <v>13</v>
      </c>
      <c r="AQ31" s="118" t="s">
        <v>119</v>
      </c>
      <c r="AR31" s="100" t="s">
        <v>684</v>
      </c>
      <c r="AS31" s="100"/>
      <c r="AT31" s="100" t="s">
        <v>75</v>
      </c>
      <c r="AU31" s="4"/>
    </row>
    <row r="32" spans="3:47" ht="12" customHeight="1" x14ac:dyDescent="0.25">
      <c r="C32" s="521" t="str">
        <f>"R-SW_Apt"&amp;"_"&amp;RIGHT(E31,3)&amp;"_HPN1-ABC"</f>
        <v>R-SW_Apt_ELC_HPN1-ABC</v>
      </c>
      <c r="D32" s="30" t="s">
        <v>747</v>
      </c>
      <c r="E32" s="30" t="s">
        <v>144</v>
      </c>
      <c r="F32" s="30" t="s">
        <v>565</v>
      </c>
      <c r="G32" s="30" t="s">
        <v>709</v>
      </c>
      <c r="H32" s="521">
        <f>JRC_Data!$AC$18/JRC_Data!$AC$16</f>
        <v>1</v>
      </c>
      <c r="I32" s="29">
        <f>JRC_Data!$AD$18/JRC_Data!$AC$16</f>
        <v>1.0999999999999999</v>
      </c>
      <c r="J32" s="29">
        <f>JRC_Data!$AE$18/JRC_Data!$AC$16</f>
        <v>1.2333333333333334</v>
      </c>
      <c r="K32" s="563">
        <f>JRC_Data!$AF$18/JRC_Data!$AC$16</f>
        <v>1.3333333333333333</v>
      </c>
      <c r="L32" s="521"/>
      <c r="M32" s="29"/>
      <c r="N32" s="29"/>
      <c r="O32" s="563"/>
      <c r="P32" s="521">
        <f t="shared" ref="P32:P36" si="25">H32*0.7</f>
        <v>0.7</v>
      </c>
      <c r="Q32" s="29">
        <f t="shared" ref="Q32:Q36" si="26">I32*0.7</f>
        <v>0.76999999999999991</v>
      </c>
      <c r="R32" s="29">
        <f t="shared" ref="R32:R36" si="27">J32*0.7</f>
        <v>0.86333333333333329</v>
      </c>
      <c r="S32" s="563">
        <f t="shared" ref="S32:S36" si="28">K32*0.7</f>
        <v>0.93333333333333324</v>
      </c>
      <c r="T32" s="451">
        <v>20</v>
      </c>
      <c r="U32" s="29"/>
      <c r="V32" s="521">
        <v>10.622222222222222</v>
      </c>
      <c r="W32" s="29">
        <v>10.622222222222222</v>
      </c>
      <c r="X32" s="29">
        <v>9.5599999999999987</v>
      </c>
      <c r="Y32" s="29">
        <v>9.5599999999999987</v>
      </c>
      <c r="Z32" s="563">
        <v>0.15</v>
      </c>
      <c r="AA32" s="30"/>
      <c r="AB32" s="31"/>
      <c r="AC32" s="31"/>
      <c r="AD32" s="31"/>
      <c r="AE32" s="31"/>
      <c r="AF32" s="31"/>
      <c r="AG32" s="31"/>
      <c r="AH32" s="521">
        <f t="shared" ref="AH32:AH36" si="29">31.536*(AK32/1000)</f>
        <v>0.56764799999999993</v>
      </c>
      <c r="AI32" s="30"/>
      <c r="AJ32" s="30">
        <v>2019</v>
      </c>
      <c r="AK32" s="545">
        <v>18</v>
      </c>
      <c r="AM32" s="100"/>
      <c r="AN32" s="205" t="str">
        <f t="shared" si="22"/>
        <v>R-SW_Apt_ELC_HPN1-ABG</v>
      </c>
      <c r="AO32" s="205" t="str">
        <f t="shared" si="23"/>
        <v>Residential Electric Heat Pump AB - Air to Water - SH + WH - G rated dwelling</v>
      </c>
      <c r="AP32" s="100" t="s">
        <v>13</v>
      </c>
      <c r="AQ32" s="118" t="s">
        <v>119</v>
      </c>
      <c r="AR32" s="100" t="s">
        <v>684</v>
      </c>
      <c r="AS32" s="100"/>
      <c r="AT32" s="100" t="s">
        <v>75</v>
      </c>
      <c r="AU32" s="4"/>
    </row>
    <row r="33" spans="3:47" ht="12" customHeight="1" x14ac:dyDescent="0.25">
      <c r="C33" s="519" t="str">
        <f>"R-SW_Apt"&amp;"_"&amp;RIGHT(E32,3)&amp;"_HPN1-ABD"</f>
        <v>R-SW_Apt_ELC_HPN1-ABD</v>
      </c>
      <c r="D33" s="24" t="s">
        <v>748</v>
      </c>
      <c r="E33" s="24" t="s">
        <v>144</v>
      </c>
      <c r="F33" s="24" t="s">
        <v>565</v>
      </c>
      <c r="G33" s="24" t="s">
        <v>743</v>
      </c>
      <c r="H33" s="519">
        <f>JRC_Data!$AC$18/JRC_Data!$AC$16</f>
        <v>1</v>
      </c>
      <c r="I33" s="23">
        <f>JRC_Data!$AD$18/JRC_Data!$AC$16</f>
        <v>1.0999999999999999</v>
      </c>
      <c r="J33" s="23">
        <f>JRC_Data!$AE$18/JRC_Data!$AC$16</f>
        <v>1.2333333333333334</v>
      </c>
      <c r="K33" s="562">
        <f>JRC_Data!$AF$18/JRC_Data!$AC$16</f>
        <v>1.3333333333333333</v>
      </c>
      <c r="L33" s="519"/>
      <c r="M33" s="23"/>
      <c r="N33" s="23"/>
      <c r="O33" s="562"/>
      <c r="P33" s="519">
        <f t="shared" si="25"/>
        <v>0.7</v>
      </c>
      <c r="Q33" s="23">
        <f t="shared" si="26"/>
        <v>0.76999999999999991</v>
      </c>
      <c r="R33" s="23">
        <f t="shared" si="27"/>
        <v>0.86333333333333329</v>
      </c>
      <c r="S33" s="562">
        <f t="shared" si="28"/>
        <v>0.93333333333333324</v>
      </c>
      <c r="T33" s="450">
        <v>20</v>
      </c>
      <c r="U33" s="23"/>
      <c r="V33" s="519">
        <v>10.622222222222222</v>
      </c>
      <c r="W33" s="23">
        <v>10.622222222222222</v>
      </c>
      <c r="X33" s="23">
        <v>9.5599999999999987</v>
      </c>
      <c r="Y33" s="23">
        <v>9.5599999999999987</v>
      </c>
      <c r="Z33" s="562">
        <v>0.15</v>
      </c>
      <c r="AA33" s="24"/>
      <c r="AB33" s="32"/>
      <c r="AC33" s="32"/>
      <c r="AD33" s="32"/>
      <c r="AE33" s="32"/>
      <c r="AF33" s="32"/>
      <c r="AG33" s="32"/>
      <c r="AH33" s="519">
        <f t="shared" si="29"/>
        <v>0.56764799999999993</v>
      </c>
      <c r="AI33" s="24"/>
      <c r="AJ33" s="24">
        <v>2019</v>
      </c>
      <c r="AK33" s="544">
        <v>18</v>
      </c>
      <c r="AM33" s="100"/>
      <c r="AN33" s="205" t="str">
        <f t="shared" ref="AN33:AO38" si="30">C37</f>
        <v>R-SW_Apt_ELC_HPN1-C</v>
      </c>
      <c r="AO33" s="205" t="str">
        <f t="shared" si="30"/>
        <v>Residential Electric Heat Pump - Air to Water - SH + WH - C rated dwelling</v>
      </c>
      <c r="AP33" s="100" t="s">
        <v>13</v>
      </c>
      <c r="AQ33" s="116" t="s">
        <v>119</v>
      </c>
      <c r="AR33" s="100" t="s">
        <v>684</v>
      </c>
      <c r="AS33" s="100"/>
      <c r="AT33" s="100" t="s">
        <v>75</v>
      </c>
      <c r="AU33" s="4"/>
    </row>
    <row r="34" spans="3:47" ht="12" customHeight="1" x14ac:dyDescent="0.25">
      <c r="C34" s="521" t="str">
        <f>"R-SW_Apt"&amp;"_"&amp;RIGHT(E33,3)&amp;"_HPN1-ABE"</f>
        <v>R-SW_Apt_ELC_HPN1-ABE</v>
      </c>
      <c r="D34" s="30" t="s">
        <v>749</v>
      </c>
      <c r="E34" s="30" t="s">
        <v>144</v>
      </c>
      <c r="F34" s="30" t="s">
        <v>565</v>
      </c>
      <c r="G34" s="30" t="s">
        <v>710</v>
      </c>
      <c r="H34" s="521">
        <f>JRC_Data!$AC$18/JRC_Data!$AC$16</f>
        <v>1</v>
      </c>
      <c r="I34" s="29">
        <f>JRC_Data!$AD$18/JRC_Data!$AC$16</f>
        <v>1.0999999999999999</v>
      </c>
      <c r="J34" s="29">
        <f>JRC_Data!$AE$18/JRC_Data!$AC$16</f>
        <v>1.2333333333333334</v>
      </c>
      <c r="K34" s="563">
        <f>JRC_Data!$AF$18/JRC_Data!$AC$16</f>
        <v>1.3333333333333333</v>
      </c>
      <c r="L34" s="521"/>
      <c r="M34" s="29"/>
      <c r="N34" s="29"/>
      <c r="O34" s="563"/>
      <c r="P34" s="521">
        <f t="shared" si="25"/>
        <v>0.7</v>
      </c>
      <c r="Q34" s="29">
        <f t="shared" si="26"/>
        <v>0.76999999999999991</v>
      </c>
      <c r="R34" s="29">
        <f t="shared" si="27"/>
        <v>0.86333333333333329</v>
      </c>
      <c r="S34" s="563">
        <f t="shared" si="28"/>
        <v>0.93333333333333324</v>
      </c>
      <c r="T34" s="451">
        <v>20</v>
      </c>
      <c r="U34" s="29"/>
      <c r="V34" s="521">
        <v>10.622222222222222</v>
      </c>
      <c r="W34" s="29">
        <v>10.622222222222222</v>
      </c>
      <c r="X34" s="29">
        <v>9.5599999999999987</v>
      </c>
      <c r="Y34" s="29">
        <v>9.5599999999999987</v>
      </c>
      <c r="Z34" s="563">
        <v>0.15</v>
      </c>
      <c r="AA34" s="30"/>
      <c r="AB34" s="31"/>
      <c r="AC34" s="31"/>
      <c r="AD34" s="31"/>
      <c r="AE34" s="31"/>
      <c r="AF34" s="31"/>
      <c r="AG34" s="31"/>
      <c r="AH34" s="521">
        <f t="shared" si="29"/>
        <v>0.56764799999999993</v>
      </c>
      <c r="AI34" s="30"/>
      <c r="AJ34" s="30">
        <v>2019</v>
      </c>
      <c r="AK34" s="545">
        <v>18</v>
      </c>
      <c r="AM34" s="100"/>
      <c r="AN34" s="205" t="str">
        <f t="shared" si="30"/>
        <v>R-SW_Apt_ELC_HPN1-D</v>
      </c>
      <c r="AO34" s="205" t="str">
        <f t="shared" si="30"/>
        <v>Residential Electric Heat Pump - Air to Water - SH + WH - D rated dwelling</v>
      </c>
      <c r="AP34" s="100" t="s">
        <v>13</v>
      </c>
      <c r="AQ34" s="116" t="s">
        <v>119</v>
      </c>
      <c r="AR34" s="100" t="s">
        <v>684</v>
      </c>
      <c r="AS34" s="100"/>
      <c r="AT34" s="100" t="s">
        <v>75</v>
      </c>
    </row>
    <row r="35" spans="3:47" ht="12" customHeight="1" x14ac:dyDescent="0.25">
      <c r="C35" s="519" t="str">
        <f>"R-SW_Apt"&amp;"_"&amp;RIGHT(E34,3)&amp;"_HPN1-ABF"</f>
        <v>R-SW_Apt_ELC_HPN1-ABF</v>
      </c>
      <c r="D35" s="24" t="s">
        <v>750</v>
      </c>
      <c r="E35" s="24" t="s">
        <v>144</v>
      </c>
      <c r="F35" s="24" t="s">
        <v>565</v>
      </c>
      <c r="G35" s="24" t="s">
        <v>711</v>
      </c>
      <c r="H35" s="519">
        <f>JRC_Data!$AC$18/JRC_Data!$AC$16</f>
        <v>1</v>
      </c>
      <c r="I35" s="23">
        <f>JRC_Data!$AD$18/JRC_Data!$AC$16</f>
        <v>1.0999999999999999</v>
      </c>
      <c r="J35" s="23">
        <f>JRC_Data!$AE$18/JRC_Data!$AC$16</f>
        <v>1.2333333333333334</v>
      </c>
      <c r="K35" s="562">
        <f>JRC_Data!$AF$18/JRC_Data!$AC$16</f>
        <v>1.3333333333333333</v>
      </c>
      <c r="L35" s="519"/>
      <c r="M35" s="23"/>
      <c r="N35" s="23"/>
      <c r="O35" s="562"/>
      <c r="P35" s="519">
        <f t="shared" si="25"/>
        <v>0.7</v>
      </c>
      <c r="Q35" s="23">
        <f t="shared" si="26"/>
        <v>0.76999999999999991</v>
      </c>
      <c r="R35" s="23">
        <f t="shared" si="27"/>
        <v>0.86333333333333329</v>
      </c>
      <c r="S35" s="562">
        <f t="shared" si="28"/>
        <v>0.93333333333333324</v>
      </c>
      <c r="T35" s="450">
        <v>20</v>
      </c>
      <c r="U35" s="23"/>
      <c r="V35" s="519">
        <v>10.622222222222222</v>
      </c>
      <c r="W35" s="23">
        <v>10.622222222222222</v>
      </c>
      <c r="X35" s="23">
        <v>9.5599999999999987</v>
      </c>
      <c r="Y35" s="23">
        <v>9.5599999999999987</v>
      </c>
      <c r="Z35" s="562">
        <v>0.15</v>
      </c>
      <c r="AA35" s="24"/>
      <c r="AB35" s="32"/>
      <c r="AC35" s="32"/>
      <c r="AD35" s="32"/>
      <c r="AE35" s="32"/>
      <c r="AF35" s="32"/>
      <c r="AG35" s="32"/>
      <c r="AH35" s="519">
        <f t="shared" si="29"/>
        <v>0.56764799999999993</v>
      </c>
      <c r="AI35" s="24"/>
      <c r="AJ35" s="24">
        <v>2019</v>
      </c>
      <c r="AK35" s="544">
        <v>18</v>
      </c>
      <c r="AM35" s="100"/>
      <c r="AN35" s="205" t="str">
        <f t="shared" si="30"/>
        <v>R-SW_Apt_ELC_HPN1-E</v>
      </c>
      <c r="AO35" s="205" t="str">
        <f t="shared" si="30"/>
        <v>Residential Electric Heat Pump - Air to Water - SH + WH - E rated dwelling</v>
      </c>
      <c r="AP35" s="100" t="s">
        <v>13</v>
      </c>
      <c r="AQ35" s="118" t="s">
        <v>119</v>
      </c>
      <c r="AR35" s="100" t="s">
        <v>684</v>
      </c>
      <c r="AS35" s="100"/>
      <c r="AT35" s="100" t="s">
        <v>75</v>
      </c>
      <c r="AU35" s="4"/>
    </row>
    <row r="36" spans="3:47" ht="12" customHeight="1" x14ac:dyDescent="0.25">
      <c r="C36" s="567" t="str">
        <f>"R-SW_Apt"&amp;"_"&amp;RIGHT(E35,3)&amp;"_HPN1-ABG"</f>
        <v>R-SW_Apt_ELC_HPN1-ABG</v>
      </c>
      <c r="D36" s="112" t="s">
        <v>751</v>
      </c>
      <c r="E36" s="112" t="s">
        <v>144</v>
      </c>
      <c r="F36" s="30" t="s">
        <v>565</v>
      </c>
      <c r="G36" s="112" t="s">
        <v>712</v>
      </c>
      <c r="H36" s="567">
        <f>JRC_Data!$AC$18/JRC_Data!$AC$16</f>
        <v>1</v>
      </c>
      <c r="I36" s="568">
        <f>JRC_Data!$AD$18/JRC_Data!$AC$16</f>
        <v>1.0999999999999999</v>
      </c>
      <c r="J36" s="568">
        <f>JRC_Data!$AE$18/JRC_Data!$AC$16</f>
        <v>1.2333333333333334</v>
      </c>
      <c r="K36" s="569">
        <f>JRC_Data!$AF$18/JRC_Data!$AC$16</f>
        <v>1.3333333333333333</v>
      </c>
      <c r="L36" s="567"/>
      <c r="M36" s="568"/>
      <c r="N36" s="568"/>
      <c r="O36" s="569"/>
      <c r="P36" s="567">
        <f t="shared" si="25"/>
        <v>0.7</v>
      </c>
      <c r="Q36" s="568">
        <f t="shared" si="26"/>
        <v>0.76999999999999991</v>
      </c>
      <c r="R36" s="568">
        <f t="shared" si="27"/>
        <v>0.86333333333333329</v>
      </c>
      <c r="S36" s="569">
        <f t="shared" si="28"/>
        <v>0.93333333333333324</v>
      </c>
      <c r="T36" s="570">
        <v>20</v>
      </c>
      <c r="U36" s="568"/>
      <c r="V36" s="567">
        <v>10.622222222222222</v>
      </c>
      <c r="W36" s="568">
        <v>10.622222222222222</v>
      </c>
      <c r="X36" s="568">
        <v>9.5599999999999987</v>
      </c>
      <c r="Y36" s="568">
        <v>9.5599999999999987</v>
      </c>
      <c r="Z36" s="569">
        <v>0.15</v>
      </c>
      <c r="AA36" s="112"/>
      <c r="AB36" s="571"/>
      <c r="AC36" s="571"/>
      <c r="AD36" s="571"/>
      <c r="AE36" s="571"/>
      <c r="AF36" s="571"/>
      <c r="AG36" s="571"/>
      <c r="AH36" s="567">
        <f t="shared" si="29"/>
        <v>0.56764799999999993</v>
      </c>
      <c r="AI36" s="112"/>
      <c r="AJ36" s="112">
        <v>2019</v>
      </c>
      <c r="AK36" s="545">
        <v>18</v>
      </c>
      <c r="AN36" s="205" t="str">
        <f t="shared" si="30"/>
        <v>R-SW_Apt_ELC_HPN1-F</v>
      </c>
      <c r="AO36" s="205" t="str">
        <f t="shared" si="30"/>
        <v>Residential Electric Heat Pump - Air to Water - SH + WH - F rated dwelling</v>
      </c>
      <c r="AP36" s="100" t="s">
        <v>13</v>
      </c>
      <c r="AQ36" s="116" t="s">
        <v>119</v>
      </c>
      <c r="AR36" s="100" t="s">
        <v>684</v>
      </c>
      <c r="AS36" s="100"/>
      <c r="AT36" s="100" t="s">
        <v>75</v>
      </c>
      <c r="AU36" s="4"/>
    </row>
    <row r="37" spans="3:47" ht="12" customHeight="1" x14ac:dyDescent="0.25">
      <c r="C37" s="519" t="str">
        <f>"R-SW_Apt"&amp;"_"&amp;RIGHT(E37,3)&amp;"_HPN1-C"</f>
        <v>R-SW_Apt_ELC_HPN1-C</v>
      </c>
      <c r="D37" s="24" t="s">
        <v>615</v>
      </c>
      <c r="E37" s="24" t="s">
        <v>144</v>
      </c>
      <c r="F37" s="24" t="s">
        <v>565</v>
      </c>
      <c r="G37" s="24" t="s">
        <v>709</v>
      </c>
      <c r="H37" s="519">
        <f>(JRC_Data!$AC$18/JRC_Data!$AC$16)*AK310</f>
        <v>0.95144144144144138</v>
      </c>
      <c r="I37" s="23">
        <f>(JRC_Data!$AD$18/JRC_Data!$AC$16)*AK310</f>
        <v>1.0465855855855855</v>
      </c>
      <c r="J37" s="23">
        <f>(JRC_Data!$AE$18/JRC_Data!$AC$16)*AK310</f>
        <v>1.1734444444444445</v>
      </c>
      <c r="K37" s="562">
        <f>(JRC_Data!$AF$18/JRC_Data!$AC$16)*AK310</f>
        <v>1.2685885885885884</v>
      </c>
      <c r="L37" s="519"/>
      <c r="M37" s="23"/>
      <c r="N37" s="23"/>
      <c r="O37" s="562"/>
      <c r="P37" s="519">
        <f t="shared" ref="P37:P40" si="31">H37*0.7</f>
        <v>0.66600900900900895</v>
      </c>
      <c r="Q37" s="23">
        <f t="shared" ref="Q37:Q40" si="32">I37*0.7</f>
        <v>0.73260990990990982</v>
      </c>
      <c r="R37" s="23">
        <f t="shared" ref="R37:R40" si="33">J37*0.7</f>
        <v>0.82141111111111109</v>
      </c>
      <c r="S37" s="562">
        <f t="shared" ref="S37:S40" si="34">K37*0.7</f>
        <v>0.88801201201201174</v>
      </c>
      <c r="T37" s="450">
        <v>20</v>
      </c>
      <c r="U37" s="23"/>
      <c r="V37" s="519">
        <f>JRC_Data!BC18/1000*($U$287/$U$285)</f>
        <v>10.622222222222222</v>
      </c>
      <c r="W37" s="519">
        <f>JRC_Data!BD18/1000*($U$287/$U$285)</f>
        <v>10.622222222222222</v>
      </c>
      <c r="X37" s="519">
        <f>JRC_Data!BE18/1000*($U$287/$U$285)</f>
        <v>9.5599999999999987</v>
      </c>
      <c r="Y37" s="519">
        <f>JRC_Data!BF18/1000*($U$287/$U$285)</f>
        <v>9.5599999999999987</v>
      </c>
      <c r="Z37" s="562">
        <f>JRC_Data!$BL$18/1000</f>
        <v>0.15</v>
      </c>
      <c r="AA37" s="24"/>
      <c r="AB37" s="32"/>
      <c r="AC37" s="32"/>
      <c r="AD37" s="32"/>
      <c r="AE37" s="32"/>
      <c r="AF37" s="32"/>
      <c r="AG37" s="32"/>
      <c r="AH37" s="519">
        <f t="shared" ref="AH37:AH40" si="35">31.536*(AK37/1000)</f>
        <v>0.56764799999999993</v>
      </c>
      <c r="AI37" s="24"/>
      <c r="AJ37" s="24">
        <f>IF($A$2="No",2100,2019)</f>
        <v>2100</v>
      </c>
      <c r="AK37" s="544">
        <v>18</v>
      </c>
      <c r="AM37" s="100"/>
      <c r="AN37" s="205" t="str">
        <f t="shared" si="30"/>
        <v>R-SW_Apt_ELC_HPN1-G</v>
      </c>
      <c r="AO37" s="205" t="str">
        <f t="shared" si="30"/>
        <v>Residential Electric Heat Pump - Air to Water - SH + WH - G rated dwelling</v>
      </c>
      <c r="AP37" s="100" t="s">
        <v>13</v>
      </c>
      <c r="AQ37" s="116" t="s">
        <v>119</v>
      </c>
      <c r="AR37" s="100" t="s">
        <v>684</v>
      </c>
      <c r="AS37" s="100"/>
      <c r="AT37" s="100" t="s">
        <v>75</v>
      </c>
      <c r="AU37" s="4"/>
    </row>
    <row r="38" spans="3:47" ht="12" customHeight="1" x14ac:dyDescent="0.25">
      <c r="C38" s="521" t="str">
        <f>"R-SW_Apt"&amp;"_"&amp;RIGHT(E38,3)&amp;"_HPN1-D"</f>
        <v>R-SW_Apt_ELC_HPN1-D</v>
      </c>
      <c r="D38" s="30" t="s">
        <v>616</v>
      </c>
      <c r="E38" s="30" t="s">
        <v>144</v>
      </c>
      <c r="F38" s="30" t="s">
        <v>565</v>
      </c>
      <c r="G38" s="30" t="s">
        <v>743</v>
      </c>
      <c r="H38" s="521">
        <f>(JRC_Data!$AC$18/JRC_Data!$AC$16)*AK311</f>
        <v>0.90288288288288288</v>
      </c>
      <c r="I38" s="29">
        <f>(JRC_Data!$AD$18/JRC_Data!$AC$16)*AK311</f>
        <v>0.99317117117117104</v>
      </c>
      <c r="J38" s="29">
        <f>(JRC_Data!$AE$18/JRC_Data!$AC$16)*AK311</f>
        <v>1.1135555555555556</v>
      </c>
      <c r="K38" s="563">
        <f>(JRC_Data!$AF$18/JRC_Data!$AC$16)*AK311</f>
        <v>1.2038438438438437</v>
      </c>
      <c r="L38" s="521"/>
      <c r="M38" s="29"/>
      <c r="N38" s="29"/>
      <c r="O38" s="563"/>
      <c r="P38" s="521">
        <f t="shared" si="31"/>
        <v>0.63201801801801794</v>
      </c>
      <c r="Q38" s="29">
        <f t="shared" si="32"/>
        <v>0.69521981981981973</v>
      </c>
      <c r="R38" s="29">
        <f t="shared" si="33"/>
        <v>0.7794888888888889</v>
      </c>
      <c r="S38" s="563">
        <f t="shared" si="34"/>
        <v>0.84269069069069058</v>
      </c>
      <c r="T38" s="451">
        <v>20</v>
      </c>
      <c r="U38" s="29"/>
      <c r="V38" s="521">
        <f>JRC_Data!BC18/1000*($U$287/$U$285)</f>
        <v>10.622222222222222</v>
      </c>
      <c r="W38" s="521">
        <f>JRC_Data!BD18/1000*($U$287/$U$285)</f>
        <v>10.622222222222222</v>
      </c>
      <c r="X38" s="521">
        <f>JRC_Data!BE18/1000*($U$287/$U$285)</f>
        <v>9.5599999999999987</v>
      </c>
      <c r="Y38" s="521">
        <f>JRC_Data!BF18/1000*($U$287/$U$285)</f>
        <v>9.5599999999999987</v>
      </c>
      <c r="Z38" s="563">
        <f>JRC_Data!$BL$18/1000</f>
        <v>0.15</v>
      </c>
      <c r="AA38" s="30"/>
      <c r="AB38" s="31"/>
      <c r="AC38" s="31"/>
      <c r="AD38" s="31"/>
      <c r="AE38" s="31"/>
      <c r="AF38" s="31"/>
      <c r="AG38" s="31"/>
      <c r="AH38" s="521">
        <f t="shared" si="35"/>
        <v>0.56764799999999993</v>
      </c>
      <c r="AI38" s="30"/>
      <c r="AJ38" s="24">
        <f t="shared" ref="AJ38:AJ41" si="36">IF($A$2="No",2100,2019)</f>
        <v>2100</v>
      </c>
      <c r="AK38" s="545">
        <v>18</v>
      </c>
      <c r="AM38" s="205"/>
      <c r="AN38" s="99" t="str">
        <f t="shared" si="30"/>
        <v>R-SH_Apt_ELC_HPN3-AB</v>
      </c>
      <c r="AO38" s="99" t="str">
        <f t="shared" si="30"/>
        <v>Residential Electric Heat Pump AB - Ground to Water - SH - AB rated dwelling</v>
      </c>
      <c r="AP38" s="100" t="s">
        <v>13</v>
      </c>
      <c r="AQ38" s="118" t="s">
        <v>119</v>
      </c>
      <c r="AR38" s="100" t="s">
        <v>684</v>
      </c>
      <c r="AS38" s="100"/>
      <c r="AT38" s="100" t="s">
        <v>75</v>
      </c>
    </row>
    <row r="39" spans="3:47" ht="12" customHeight="1" x14ac:dyDescent="0.25">
      <c r="C39" s="519" t="str">
        <f>"R-SW_Apt"&amp;"_"&amp;RIGHT(E39,3)&amp;"_HPN1-E"</f>
        <v>R-SW_Apt_ELC_HPN1-E</v>
      </c>
      <c r="D39" s="24" t="s">
        <v>617</v>
      </c>
      <c r="E39" s="24" t="s">
        <v>144</v>
      </c>
      <c r="F39" s="24" t="s">
        <v>565</v>
      </c>
      <c r="G39" s="24" t="s">
        <v>710</v>
      </c>
      <c r="H39" s="519">
        <f>(JRC_Data!$AC$18/JRC_Data!$AC$16)*AK312</f>
        <v>0.85285285285285284</v>
      </c>
      <c r="I39" s="23">
        <f>(JRC_Data!$AD$18/JRC_Data!$AC$16)*AK312</f>
        <v>0.93813813813813796</v>
      </c>
      <c r="J39" s="23">
        <f>(JRC_Data!$AE$18/JRC_Data!$AC$16)*AK312</f>
        <v>1.0518518518518518</v>
      </c>
      <c r="K39" s="562">
        <f>(JRC_Data!$AF$18/JRC_Data!$AC$16)*AK312</f>
        <v>1.137137137137137</v>
      </c>
      <c r="L39" s="519"/>
      <c r="M39" s="23"/>
      <c r="N39" s="23"/>
      <c r="O39" s="562"/>
      <c r="P39" s="519">
        <f t="shared" si="31"/>
        <v>0.59699699699699693</v>
      </c>
      <c r="Q39" s="23">
        <f t="shared" si="32"/>
        <v>0.6566966966966965</v>
      </c>
      <c r="R39" s="23">
        <f t="shared" si="33"/>
        <v>0.73629629629629623</v>
      </c>
      <c r="S39" s="562">
        <f t="shared" si="34"/>
        <v>0.79599599599599591</v>
      </c>
      <c r="T39" s="450">
        <v>20</v>
      </c>
      <c r="U39" s="23"/>
      <c r="V39" s="519">
        <f>JRC_Data!BC18/1000*($U$287/$U$285)+RSD_Heating!$AH$312/1000</f>
        <v>12.355538888888889</v>
      </c>
      <c r="W39" s="519">
        <f>JRC_Data!BD18/1000*($U$287/$U$285)+RSD_Heating!$AH$312/1000</f>
        <v>12.355538888888889</v>
      </c>
      <c r="X39" s="519">
        <f>JRC_Data!BE18/1000*($U$287/$U$285)+RSD_Heating!$AH$312/1000</f>
        <v>11.293316666666666</v>
      </c>
      <c r="Y39" s="519">
        <f>JRC_Data!BF18/1000*($U$287/$U$285)+RSD_Heating!$AH$312/1000</f>
        <v>11.293316666666666</v>
      </c>
      <c r="Z39" s="562">
        <f>JRC_Data!$BL$18/1000</f>
        <v>0.15</v>
      </c>
      <c r="AA39" s="24"/>
      <c r="AB39" s="32"/>
      <c r="AC39" s="32"/>
      <c r="AD39" s="32"/>
      <c r="AE39" s="32"/>
      <c r="AF39" s="32"/>
      <c r="AG39" s="32"/>
      <c r="AH39" s="519">
        <f t="shared" si="35"/>
        <v>0.56764799999999993</v>
      </c>
      <c r="AI39" s="24"/>
      <c r="AJ39" s="24">
        <f t="shared" si="36"/>
        <v>2100</v>
      </c>
      <c r="AK39" s="544">
        <v>18</v>
      </c>
      <c r="AM39" s="205"/>
      <c r="AN39" s="205" t="str">
        <f t="shared" ref="AN39:AN43" si="37">C43</f>
        <v>R-SH_Apt_ELC_HPN3-ABC</v>
      </c>
      <c r="AO39" s="205" t="str">
        <f t="shared" ref="AO39:AO43" si="38">D43</f>
        <v>Residential Electric Heat Pump AB - Ground to Water - SH - Crated dwelling</v>
      </c>
      <c r="AP39" s="100" t="s">
        <v>13</v>
      </c>
      <c r="AQ39" s="118" t="s">
        <v>119</v>
      </c>
      <c r="AR39" s="100" t="s">
        <v>684</v>
      </c>
      <c r="AS39" s="100"/>
      <c r="AT39" s="100" t="s">
        <v>75</v>
      </c>
      <c r="AU39" s="100"/>
    </row>
    <row r="40" spans="3:47" ht="12" customHeight="1" x14ac:dyDescent="0.25">
      <c r="C40" s="521" t="str">
        <f>"R-SW_Apt"&amp;"_"&amp;RIGHT(E40,3)&amp;"_HPN1-F"</f>
        <v>R-SW_Apt_ELC_HPN1-F</v>
      </c>
      <c r="D40" s="30" t="s">
        <v>618</v>
      </c>
      <c r="E40" s="30" t="s">
        <v>144</v>
      </c>
      <c r="F40" s="30" t="s">
        <v>565</v>
      </c>
      <c r="G40" s="30" t="s">
        <v>711</v>
      </c>
      <c r="H40" s="521">
        <f>(JRC_Data!$AC$18/JRC_Data!$AC$16)*AK313</f>
        <v>0.77927927927927931</v>
      </c>
      <c r="I40" s="29">
        <f>(JRC_Data!$AD$18/JRC_Data!$AC$16)*AK313</f>
        <v>0.85720720720720711</v>
      </c>
      <c r="J40" s="29">
        <f>(JRC_Data!$AE$18/JRC_Data!$AC$16)*AK313</f>
        <v>0.96111111111111125</v>
      </c>
      <c r="K40" s="563">
        <f>(JRC_Data!$AF$18/JRC_Data!$AC$16)*AK313</f>
        <v>1.0390390390390389</v>
      </c>
      <c r="L40" s="521"/>
      <c r="M40" s="29"/>
      <c r="N40" s="29"/>
      <c r="O40" s="563"/>
      <c r="P40" s="521">
        <f t="shared" si="31"/>
        <v>0.54549549549549547</v>
      </c>
      <c r="Q40" s="29">
        <f t="shared" si="32"/>
        <v>0.60004504504504497</v>
      </c>
      <c r="R40" s="29">
        <f t="shared" si="33"/>
        <v>0.67277777777777781</v>
      </c>
      <c r="S40" s="563">
        <f t="shared" si="34"/>
        <v>0.72732732732732719</v>
      </c>
      <c r="T40" s="451">
        <v>20</v>
      </c>
      <c r="U40" s="29"/>
      <c r="V40" s="521">
        <f>JRC_Data!BC18/1000*($U$284/$U$287)+RSD_Heating!$AH$313/1000</f>
        <v>11.134642140979979</v>
      </c>
      <c r="W40" s="521">
        <f>JRC_Data!BD18/1000*($U$284/$U$287)+RSD_Heating!$AH$313/1000</f>
        <v>11.134642140979979</v>
      </c>
      <c r="X40" s="521">
        <f>JRC_Data!BE18/1000*($U$284/$U$287)+RSD_Heating!$AH$313/1000</f>
        <v>10.212670426881981</v>
      </c>
      <c r="Y40" s="521">
        <f>JRC_Data!BF18/1000*($U$284/$U$287)+RSD_Heating!$AH$313/1000</f>
        <v>10.212670426881981</v>
      </c>
      <c r="Z40" s="563">
        <f>JRC_Data!$BL$18/1000</f>
        <v>0.15</v>
      </c>
      <c r="AA40" s="30"/>
      <c r="AB40" s="31"/>
      <c r="AC40" s="31"/>
      <c r="AD40" s="31"/>
      <c r="AE40" s="31"/>
      <c r="AF40" s="31"/>
      <c r="AG40" s="31"/>
      <c r="AH40" s="521">
        <f t="shared" si="35"/>
        <v>0.56764799999999993</v>
      </c>
      <c r="AI40" s="30"/>
      <c r="AJ40" s="24">
        <f t="shared" si="36"/>
        <v>2100</v>
      </c>
      <c r="AK40" s="545">
        <v>18</v>
      </c>
      <c r="AM40" s="205"/>
      <c r="AN40" s="205" t="str">
        <f t="shared" si="37"/>
        <v>R-SH_Apt_ELC_HPN3-ABD</v>
      </c>
      <c r="AO40" s="205" t="str">
        <f t="shared" si="38"/>
        <v>Residential Electric Heat Pump AB - Ground to Water - SH - D rated dwelling</v>
      </c>
      <c r="AP40" s="100" t="s">
        <v>13</v>
      </c>
      <c r="AQ40" s="118" t="s">
        <v>119</v>
      </c>
      <c r="AR40" s="100" t="s">
        <v>684</v>
      </c>
      <c r="AS40" s="100"/>
      <c r="AT40" s="100" t="s">
        <v>75</v>
      </c>
    </row>
    <row r="41" spans="3:47" ht="12" customHeight="1" thickBot="1" x14ac:dyDescent="0.3">
      <c r="C41" s="523" t="str">
        <f>"R-SW_Apt"&amp;"_"&amp;RIGHT(E40,3)&amp;"_HPN1-G"</f>
        <v>R-SW_Apt_ELC_HPN1-G</v>
      </c>
      <c r="D41" s="524" t="s">
        <v>629</v>
      </c>
      <c r="E41" s="524" t="s">
        <v>144</v>
      </c>
      <c r="F41" s="524" t="s">
        <v>565</v>
      </c>
      <c r="G41" s="524" t="s">
        <v>712</v>
      </c>
      <c r="H41" s="523">
        <f>(JRC_Data!$AC$18/JRC_Data!$AC$16)*AK314</f>
        <v>0.70570570570570568</v>
      </c>
      <c r="I41" s="526">
        <f>(JRC_Data!$AD$18/JRC_Data!$AC$16)*AK314</f>
        <v>0.77627627627627616</v>
      </c>
      <c r="J41" s="526">
        <f>(JRC_Data!$AE$18/JRC_Data!$AC$16)*AK314</f>
        <v>0.87037037037037035</v>
      </c>
      <c r="K41" s="561">
        <f>(JRC_Data!$AF$18/JRC_Data!$AC$16)*AK314</f>
        <v>0.94094094094094083</v>
      </c>
      <c r="L41" s="523"/>
      <c r="M41" s="526"/>
      <c r="N41" s="526"/>
      <c r="O41" s="561"/>
      <c r="P41" s="523">
        <f t="shared" ref="P41" si="39">H41*0.7</f>
        <v>0.49399399399399396</v>
      </c>
      <c r="Q41" s="526">
        <f t="shared" ref="Q41" si="40">I41*0.7</f>
        <v>0.54339339339339332</v>
      </c>
      <c r="R41" s="526">
        <f t="shared" ref="R41" si="41">J41*0.7</f>
        <v>0.60925925925925917</v>
      </c>
      <c r="S41" s="561">
        <f t="shared" ref="S41" si="42">K41*0.7</f>
        <v>0.65865865865865858</v>
      </c>
      <c r="T41" s="541">
        <v>20</v>
      </c>
      <c r="U41" s="526"/>
      <c r="V41" s="523">
        <f>JRC_Data!BC18/1000*($U$287/$U$285)+RSD_Heating!$AH$314/1000</f>
        <v>12.718755555555555</v>
      </c>
      <c r="W41" s="523">
        <f>JRC_Data!BD18/1000*($U$287/$U$285)+RSD_Heating!$AH$314/1000</f>
        <v>12.718755555555555</v>
      </c>
      <c r="X41" s="523">
        <f>JRC_Data!BE18/1000*($U$287/$U$285)+RSD_Heating!$AH$314/1000</f>
        <v>11.656533333333332</v>
      </c>
      <c r="Y41" s="523">
        <f>JRC_Data!BF18/1000*($U$287/$U$285)+RSD_Heating!$AH$314/1000</f>
        <v>11.656533333333332</v>
      </c>
      <c r="Z41" s="561">
        <f>JRC_Data!$BL$18/1000</f>
        <v>0.15</v>
      </c>
      <c r="AA41" s="524"/>
      <c r="AB41" s="542"/>
      <c r="AC41" s="542"/>
      <c r="AD41" s="542"/>
      <c r="AE41" s="542"/>
      <c r="AF41" s="542"/>
      <c r="AG41" s="542"/>
      <c r="AH41" s="523">
        <f t="shared" ref="AH41" si="43">31.536*(AK41/1000)</f>
        <v>0.56764799999999993</v>
      </c>
      <c r="AI41" s="524"/>
      <c r="AJ41" s="24">
        <f t="shared" si="36"/>
        <v>2100</v>
      </c>
      <c r="AK41" s="543">
        <v>18</v>
      </c>
      <c r="AM41" s="205"/>
      <c r="AN41" s="205" t="str">
        <f t="shared" si="37"/>
        <v>R-SH_Apt_ELC_HPN3-ABE</v>
      </c>
      <c r="AO41" s="205" t="str">
        <f t="shared" si="38"/>
        <v>Residential Electric Heat Pump AB - Ground to Water - SH - E rated dwelling</v>
      </c>
      <c r="AP41" s="100" t="s">
        <v>13</v>
      </c>
      <c r="AQ41" s="118" t="s">
        <v>119</v>
      </c>
      <c r="AR41" s="100" t="s">
        <v>684</v>
      </c>
      <c r="AS41" s="100"/>
      <c r="AT41" s="100" t="s">
        <v>75</v>
      </c>
    </row>
    <row r="42" spans="3:47" ht="12" customHeight="1" thickBot="1" x14ac:dyDescent="0.3">
      <c r="C42" s="510" t="str">
        <f>"R-SH_Apt"&amp;"_"&amp;RIGHT(E42,3)&amp;"_HPN3-AB"</f>
        <v>R-SH_Apt_ELC_HPN3-AB</v>
      </c>
      <c r="D42" s="511" t="s">
        <v>752</v>
      </c>
      <c r="E42" s="511" t="s">
        <v>144</v>
      </c>
      <c r="F42" s="511" t="s">
        <v>539</v>
      </c>
      <c r="G42" s="511" t="s">
        <v>603</v>
      </c>
      <c r="H42" s="510">
        <f>JRC_Data!AC20/JRC_Data!$AC$16</f>
        <v>1.0999999999999999</v>
      </c>
      <c r="I42" s="513">
        <f>JRC_Data!AD20/JRC_Data!$AC$16</f>
        <v>1.1666666666666667</v>
      </c>
      <c r="J42" s="513">
        <f>JRC_Data!AE20/JRC_Data!$AC$16</f>
        <v>1.3333333333333333</v>
      </c>
      <c r="K42" s="560">
        <f>JRC_Data!AF20/JRC_Data!$AC$16</f>
        <v>1.5</v>
      </c>
      <c r="L42" s="510"/>
      <c r="M42" s="513"/>
      <c r="N42" s="513"/>
      <c r="O42" s="560"/>
      <c r="P42" s="510"/>
      <c r="Q42" s="513"/>
      <c r="R42" s="513"/>
      <c r="S42" s="560"/>
      <c r="T42" s="538">
        <v>20</v>
      </c>
      <c r="U42" s="513"/>
      <c r="V42" s="510">
        <f>(JRC_Data!BC20/1000)*($U$286/$U$285)</f>
        <v>13.693333333333332</v>
      </c>
      <c r="W42" s="513">
        <f>(JRC_Data!BD20/1000)*($U$286/$U$285)</f>
        <v>12.639999999999999</v>
      </c>
      <c r="X42" s="513">
        <f>(JRC_Data!BE20/1000)*($U$286/$U$285)</f>
        <v>11.586666666666666</v>
      </c>
      <c r="Y42" s="513">
        <f>(JRC_Data!BF20/1000)*($U$286/$U$285)</f>
        <v>11.586666666666666</v>
      </c>
      <c r="Z42" s="560">
        <f>JRC_Data!BL20/1000</f>
        <v>0.2</v>
      </c>
      <c r="AA42" s="511"/>
      <c r="AB42" s="539"/>
      <c r="AC42" s="539"/>
      <c r="AD42" s="539"/>
      <c r="AE42" s="539"/>
      <c r="AF42" s="539"/>
      <c r="AG42" s="539"/>
      <c r="AH42" s="510">
        <f>31.536*(AK42/1000)</f>
        <v>0.47304000000000002</v>
      </c>
      <c r="AI42" s="511"/>
      <c r="AJ42" s="511">
        <v>2019</v>
      </c>
      <c r="AK42" s="540">
        <v>15</v>
      </c>
      <c r="AM42" s="205"/>
      <c r="AN42" s="205" t="str">
        <f t="shared" si="37"/>
        <v>R-SH_Apt_ELC_HPN3-ABF</v>
      </c>
      <c r="AO42" s="205" t="str">
        <f t="shared" si="38"/>
        <v>Residential Electric Heat Pump AB - Ground to Water - SH - F rated dwelling</v>
      </c>
      <c r="AP42" s="100" t="s">
        <v>13</v>
      </c>
      <c r="AQ42" s="118" t="s">
        <v>119</v>
      </c>
      <c r="AR42" s="100" t="s">
        <v>684</v>
      </c>
      <c r="AS42" s="100"/>
      <c r="AT42" s="100" t="s">
        <v>75</v>
      </c>
    </row>
    <row r="43" spans="3:47" ht="12" customHeight="1" thickBot="1" x14ac:dyDescent="0.3">
      <c r="C43" s="519" t="str">
        <f>"R-SH_Apt"&amp;"_"&amp;RIGHT(E42,3)&amp;"_HPN3-ABC"</f>
        <v>R-SH_Apt_ELC_HPN3-ABC</v>
      </c>
      <c r="D43" s="24" t="s">
        <v>753</v>
      </c>
      <c r="E43" s="24" t="s">
        <v>144</v>
      </c>
      <c r="F43" s="24" t="s">
        <v>539</v>
      </c>
      <c r="G43" s="24" t="s">
        <v>604</v>
      </c>
      <c r="H43" s="519">
        <v>1.0999999999999999</v>
      </c>
      <c r="I43" s="23">
        <v>1.1666666666666667</v>
      </c>
      <c r="J43" s="23">
        <v>1.3333333333333333</v>
      </c>
      <c r="K43" s="562">
        <v>1.5</v>
      </c>
      <c r="L43" s="519"/>
      <c r="M43" s="23"/>
      <c r="N43" s="23"/>
      <c r="O43" s="562"/>
      <c r="P43" s="519"/>
      <c r="Q43" s="23"/>
      <c r="R43" s="23"/>
      <c r="S43" s="562"/>
      <c r="T43" s="450">
        <v>20</v>
      </c>
      <c r="U43" s="23"/>
      <c r="V43" s="519">
        <v>13.693333333333332</v>
      </c>
      <c r="W43" s="23">
        <v>12.639999999999999</v>
      </c>
      <c r="X43" s="23">
        <v>11.586666666666666</v>
      </c>
      <c r="Y43" s="23">
        <v>11.586666666666666</v>
      </c>
      <c r="Z43" s="560">
        <v>0.2</v>
      </c>
      <c r="AA43" s="24"/>
      <c r="AB43" s="32"/>
      <c r="AC43" s="32"/>
      <c r="AD43" s="32"/>
      <c r="AE43" s="32"/>
      <c r="AF43" s="32"/>
      <c r="AG43" s="32"/>
      <c r="AH43" s="519">
        <f t="shared" ref="AH43:AH47" si="44">31.536*(AK43/1000)</f>
        <v>0.47304000000000002</v>
      </c>
      <c r="AI43" s="24"/>
      <c r="AJ43" s="24">
        <v>2019</v>
      </c>
      <c r="AK43" s="544">
        <v>15</v>
      </c>
      <c r="AM43" s="205"/>
      <c r="AN43" s="205" t="str">
        <f t="shared" si="37"/>
        <v>R-SH_Apt_ELC_HPN3-ABG</v>
      </c>
      <c r="AO43" s="205" t="str">
        <f t="shared" si="38"/>
        <v>Residential Electric Heat Pump AB - Ground to Water - SH - G rated dwelling</v>
      </c>
      <c r="AP43" s="100" t="s">
        <v>13</v>
      </c>
      <c r="AQ43" s="118" t="s">
        <v>119</v>
      </c>
      <c r="AR43" s="100" t="s">
        <v>684</v>
      </c>
      <c r="AS43" s="100"/>
      <c r="AT43" s="100" t="s">
        <v>75</v>
      </c>
    </row>
    <row r="44" spans="3:47" ht="12" customHeight="1" thickBot="1" x14ac:dyDescent="0.3">
      <c r="C44" s="521" t="str">
        <f>"R-SH_Apt"&amp;"_"&amp;RIGHT(E43,3)&amp;"_HPN3-ABD"</f>
        <v>R-SH_Apt_ELC_HPN3-ABD</v>
      </c>
      <c r="D44" s="30" t="s">
        <v>754</v>
      </c>
      <c r="E44" s="30" t="s">
        <v>144</v>
      </c>
      <c r="F44" s="30" t="s">
        <v>539</v>
      </c>
      <c r="G44" s="30" t="s">
        <v>605</v>
      </c>
      <c r="H44" s="521">
        <v>1.0999999999999999</v>
      </c>
      <c r="I44" s="29">
        <v>1.1666666666666667</v>
      </c>
      <c r="J44" s="29">
        <v>1.3333333333333333</v>
      </c>
      <c r="K44" s="563">
        <v>1.5</v>
      </c>
      <c r="L44" s="521"/>
      <c r="M44" s="29"/>
      <c r="N44" s="29"/>
      <c r="O44" s="563"/>
      <c r="P44" s="521"/>
      <c r="Q44" s="29"/>
      <c r="R44" s="29"/>
      <c r="S44" s="563"/>
      <c r="T44" s="451">
        <v>20</v>
      </c>
      <c r="U44" s="29"/>
      <c r="V44" s="521">
        <v>13.693333333333332</v>
      </c>
      <c r="W44" s="29">
        <v>12.639999999999999</v>
      </c>
      <c r="X44" s="29">
        <v>11.586666666666666</v>
      </c>
      <c r="Y44" s="29">
        <v>11.586666666666666</v>
      </c>
      <c r="Z44" s="560">
        <v>0.2</v>
      </c>
      <c r="AA44" s="30"/>
      <c r="AB44" s="31"/>
      <c r="AC44" s="31"/>
      <c r="AD44" s="31"/>
      <c r="AE44" s="31"/>
      <c r="AF44" s="31"/>
      <c r="AG44" s="31"/>
      <c r="AH44" s="521">
        <f t="shared" si="44"/>
        <v>0.47304000000000002</v>
      </c>
      <c r="AI44" s="30"/>
      <c r="AJ44" s="30">
        <v>2019</v>
      </c>
      <c r="AK44" s="545">
        <v>15</v>
      </c>
      <c r="AM44" s="205"/>
      <c r="AN44" s="205" t="str">
        <f t="shared" ref="AN44:AO49" si="45">C48</f>
        <v>R-SH_Apt_ELC_HPN3-C</v>
      </c>
      <c r="AO44" s="205" t="str">
        <f t="shared" si="45"/>
        <v>Residential Electric Heat Pump - Ground to Water - SH - C rated dwelling</v>
      </c>
      <c r="AP44" s="100" t="s">
        <v>13</v>
      </c>
      <c r="AQ44" s="116" t="s">
        <v>119</v>
      </c>
      <c r="AR44" s="100" t="s">
        <v>684</v>
      </c>
      <c r="AS44" s="100"/>
      <c r="AT44" s="100" t="s">
        <v>75</v>
      </c>
    </row>
    <row r="45" spans="3:47" ht="12" customHeight="1" thickBot="1" x14ac:dyDescent="0.3">
      <c r="C45" s="519" t="str">
        <f>"R-SH_Apt"&amp;"_"&amp;RIGHT(E44,3)&amp;"_HPN3-ABE"</f>
        <v>R-SH_Apt_ELC_HPN3-ABE</v>
      </c>
      <c r="D45" s="24" t="s">
        <v>755</v>
      </c>
      <c r="E45" s="24" t="s">
        <v>144</v>
      </c>
      <c r="F45" s="24" t="s">
        <v>539</v>
      </c>
      <c r="G45" s="24" t="s">
        <v>606</v>
      </c>
      <c r="H45" s="519">
        <v>1.0999999999999999</v>
      </c>
      <c r="I45" s="23">
        <v>1.1666666666666667</v>
      </c>
      <c r="J45" s="23">
        <v>1.3333333333333333</v>
      </c>
      <c r="K45" s="562">
        <v>1.5</v>
      </c>
      <c r="L45" s="519"/>
      <c r="M45" s="23"/>
      <c r="N45" s="23"/>
      <c r="O45" s="562"/>
      <c r="P45" s="519"/>
      <c r="Q45" s="23"/>
      <c r="R45" s="23"/>
      <c r="S45" s="562"/>
      <c r="T45" s="450">
        <v>20</v>
      </c>
      <c r="U45" s="23"/>
      <c r="V45" s="519">
        <v>13.693333333333332</v>
      </c>
      <c r="W45" s="23">
        <v>12.639999999999999</v>
      </c>
      <c r="X45" s="23">
        <v>11.586666666666666</v>
      </c>
      <c r="Y45" s="23">
        <v>11.586666666666666</v>
      </c>
      <c r="Z45" s="560">
        <v>0.2</v>
      </c>
      <c r="AA45" s="24"/>
      <c r="AB45" s="32"/>
      <c r="AC45" s="32"/>
      <c r="AD45" s="32"/>
      <c r="AE45" s="32"/>
      <c r="AF45" s="32"/>
      <c r="AG45" s="32"/>
      <c r="AH45" s="519">
        <f t="shared" si="44"/>
        <v>0.47304000000000002</v>
      </c>
      <c r="AI45" s="24"/>
      <c r="AJ45" s="24">
        <v>2019</v>
      </c>
      <c r="AK45" s="544">
        <v>15</v>
      </c>
      <c r="AM45" s="205"/>
      <c r="AN45" s="205" t="str">
        <f t="shared" si="45"/>
        <v>R-SH_Apt_ELC_HPN3-D</v>
      </c>
      <c r="AO45" s="205" t="str">
        <f t="shared" si="45"/>
        <v>Residential Electric Heat Pump - Ground to Water - SH - D rated dwelling</v>
      </c>
      <c r="AP45" s="100" t="s">
        <v>13</v>
      </c>
      <c r="AQ45" s="116" t="s">
        <v>119</v>
      </c>
      <c r="AR45" s="100" t="s">
        <v>684</v>
      </c>
      <c r="AS45" s="100"/>
      <c r="AT45" s="100" t="s">
        <v>75</v>
      </c>
    </row>
    <row r="46" spans="3:47" ht="12" customHeight="1" thickBot="1" x14ac:dyDescent="0.3">
      <c r="C46" s="521" t="str">
        <f>"R-SH_Apt"&amp;"_"&amp;RIGHT(E45,3)&amp;"_HPN3-ABF"</f>
        <v>R-SH_Apt_ELC_HPN3-ABF</v>
      </c>
      <c r="D46" s="30" t="s">
        <v>756</v>
      </c>
      <c r="E46" s="30" t="s">
        <v>144</v>
      </c>
      <c r="F46" s="30" t="s">
        <v>539</v>
      </c>
      <c r="G46" s="30" t="s">
        <v>607</v>
      </c>
      <c r="H46" s="521">
        <v>1.0999999999999999</v>
      </c>
      <c r="I46" s="29">
        <v>1.1666666666666667</v>
      </c>
      <c r="J46" s="29">
        <v>1.3333333333333333</v>
      </c>
      <c r="K46" s="563">
        <v>1.5</v>
      </c>
      <c r="L46" s="521"/>
      <c r="M46" s="29"/>
      <c r="N46" s="29"/>
      <c r="O46" s="563"/>
      <c r="P46" s="521"/>
      <c r="Q46" s="29"/>
      <c r="R46" s="29"/>
      <c r="S46" s="563"/>
      <c r="T46" s="451">
        <v>20</v>
      </c>
      <c r="U46" s="29"/>
      <c r="V46" s="521">
        <v>13.693333333333332</v>
      </c>
      <c r="W46" s="29">
        <v>12.639999999999999</v>
      </c>
      <c r="X46" s="29">
        <v>11.586666666666666</v>
      </c>
      <c r="Y46" s="29">
        <v>11.586666666666666</v>
      </c>
      <c r="Z46" s="560">
        <v>0.2</v>
      </c>
      <c r="AA46" s="30"/>
      <c r="AB46" s="31"/>
      <c r="AC46" s="31"/>
      <c r="AD46" s="31"/>
      <c r="AE46" s="31"/>
      <c r="AF46" s="31"/>
      <c r="AG46" s="31"/>
      <c r="AH46" s="521">
        <f t="shared" si="44"/>
        <v>0.47304000000000002</v>
      </c>
      <c r="AI46" s="30"/>
      <c r="AJ46" s="30">
        <v>2019</v>
      </c>
      <c r="AK46" s="545">
        <v>15</v>
      </c>
      <c r="AM46" s="205"/>
      <c r="AN46" s="205" t="str">
        <f t="shared" si="45"/>
        <v>R-SH_Apt_ELC_HPN3-E</v>
      </c>
      <c r="AO46" s="205" t="str">
        <f t="shared" si="45"/>
        <v>Residential Electric Heat Pump - Ground to Water - SH - E rated dwelling</v>
      </c>
      <c r="AP46" s="100" t="s">
        <v>13</v>
      </c>
      <c r="AQ46" s="118" t="s">
        <v>119</v>
      </c>
      <c r="AR46" s="100" t="s">
        <v>684</v>
      </c>
      <c r="AS46" s="100"/>
      <c r="AT46" s="100" t="s">
        <v>75</v>
      </c>
    </row>
    <row r="47" spans="3:47" ht="12" customHeight="1" x14ac:dyDescent="0.25">
      <c r="C47" s="552" t="str">
        <f>"R-SH_Apt"&amp;"_"&amp;RIGHT(E46,3)&amp;"_HPN3-ABG"</f>
        <v>R-SH_Apt_ELC_HPN3-ABG</v>
      </c>
      <c r="D47" s="27" t="s">
        <v>757</v>
      </c>
      <c r="E47" s="27" t="s">
        <v>144</v>
      </c>
      <c r="F47" s="27" t="s">
        <v>539</v>
      </c>
      <c r="G47" s="27" t="s">
        <v>628</v>
      </c>
      <c r="H47" s="552">
        <v>1.0999999999999999</v>
      </c>
      <c r="I47" s="26">
        <v>1.1666666666666667</v>
      </c>
      <c r="J47" s="26">
        <v>1.3333333333333333</v>
      </c>
      <c r="K47" s="564">
        <v>1.5</v>
      </c>
      <c r="L47" s="552"/>
      <c r="M47" s="26"/>
      <c r="N47" s="26"/>
      <c r="O47" s="564"/>
      <c r="P47" s="552"/>
      <c r="Q47" s="26"/>
      <c r="R47" s="26"/>
      <c r="S47" s="564"/>
      <c r="T47" s="449">
        <v>20</v>
      </c>
      <c r="U47" s="26"/>
      <c r="V47" s="552">
        <v>13.693333333333332</v>
      </c>
      <c r="W47" s="26">
        <v>12.639999999999999</v>
      </c>
      <c r="X47" s="26">
        <v>11.586666666666666</v>
      </c>
      <c r="Y47" s="26">
        <v>11.586666666666666</v>
      </c>
      <c r="Z47" s="560">
        <v>0.2</v>
      </c>
      <c r="AA47" s="27"/>
      <c r="AB47" s="50"/>
      <c r="AC47" s="50"/>
      <c r="AD47" s="50"/>
      <c r="AE47" s="50"/>
      <c r="AF47" s="50"/>
      <c r="AG47" s="50"/>
      <c r="AH47" s="552">
        <f t="shared" si="44"/>
        <v>0.47304000000000002</v>
      </c>
      <c r="AI47" s="27"/>
      <c r="AJ47" s="27">
        <v>2019</v>
      </c>
      <c r="AK47" s="553">
        <v>15</v>
      </c>
      <c r="AM47" s="205"/>
      <c r="AN47" s="205" t="str">
        <f t="shared" si="45"/>
        <v>R-SH_Apt_ELC_HPN3-F</v>
      </c>
      <c r="AO47" s="205" t="str">
        <f t="shared" si="45"/>
        <v>Residential Electric Heat Pump - Ground to Water - SH - F rated dwelling</v>
      </c>
      <c r="AP47" s="100" t="s">
        <v>13</v>
      </c>
      <c r="AQ47" s="116" t="s">
        <v>119</v>
      </c>
      <c r="AR47" s="100" t="s">
        <v>684</v>
      </c>
      <c r="AS47" s="100"/>
      <c r="AT47" s="100" t="s">
        <v>75</v>
      </c>
      <c r="AU47" s="4"/>
    </row>
    <row r="48" spans="3:47" ht="12" customHeight="1" x14ac:dyDescent="0.25">
      <c r="C48" s="521" t="str">
        <f>"R-SH_Apt"&amp;"_"&amp;RIGHT(E48,3)&amp;"_HPN3-C"</f>
        <v>R-SH_Apt_ELC_HPN3-C</v>
      </c>
      <c r="D48" s="30" t="s">
        <v>630</v>
      </c>
      <c r="E48" s="30" t="s">
        <v>144</v>
      </c>
      <c r="F48" s="30" t="s">
        <v>539</v>
      </c>
      <c r="G48" s="30" t="s">
        <v>604</v>
      </c>
      <c r="H48" s="521">
        <f>(JRC_Data!$AC$18/JRC_Data!$AC$16)*AK310</f>
        <v>0.95144144144144138</v>
      </c>
      <c r="I48" s="29">
        <f>(JRC_Data!$AD$18/JRC_Data!$AC$16)*AK310</f>
        <v>1.0465855855855855</v>
      </c>
      <c r="J48" s="29">
        <f>(JRC_Data!$AE$18/JRC_Data!$AC$16)*AK310</f>
        <v>1.1734444444444445</v>
      </c>
      <c r="K48" s="563">
        <f>(JRC_Data!$AF$18/JRC_Data!$AC$16)*AK310</f>
        <v>1.2685885885885884</v>
      </c>
      <c r="L48" s="521"/>
      <c r="M48" s="29"/>
      <c r="N48" s="29"/>
      <c r="O48" s="563"/>
      <c r="P48" s="521"/>
      <c r="Q48" s="29"/>
      <c r="R48" s="29"/>
      <c r="S48" s="563"/>
      <c r="T48" s="451">
        <v>20</v>
      </c>
      <c r="U48" s="29"/>
      <c r="V48" s="521">
        <f>(JRC_Data!BC20/1000)*($U$286/$U$285)</f>
        <v>13.693333333333332</v>
      </c>
      <c r="W48" s="521">
        <f>(JRC_Data!BD20/1000)*($U$286/$U$285)</f>
        <v>12.639999999999999</v>
      </c>
      <c r="X48" s="521">
        <f>(JRC_Data!BE20/1000)*($U$286/$U$285)</f>
        <v>11.586666666666666</v>
      </c>
      <c r="Y48" s="521">
        <f>(JRC_Data!BF20/1000)*($U$286/$U$285)</f>
        <v>11.586666666666666</v>
      </c>
      <c r="Z48" s="563">
        <f>JRC_Data!BL20/1000</f>
        <v>0.2</v>
      </c>
      <c r="AA48" s="30"/>
      <c r="AB48" s="31"/>
      <c r="AC48" s="31"/>
      <c r="AD48" s="31"/>
      <c r="AE48" s="31"/>
      <c r="AF48" s="31"/>
      <c r="AG48" s="31"/>
      <c r="AH48" s="521">
        <f t="shared" ref="AH48:AH52" si="46">31.536*(AK48/1000)</f>
        <v>0.47304000000000002</v>
      </c>
      <c r="AI48" s="30"/>
      <c r="AJ48" s="24">
        <f>IF($A$2="No",2100,2019)</f>
        <v>2100</v>
      </c>
      <c r="AK48" s="545">
        <v>15</v>
      </c>
      <c r="AM48" s="205"/>
      <c r="AN48" s="205" t="str">
        <f t="shared" si="45"/>
        <v>R-SH_Apt_ELC_HPN3-G</v>
      </c>
      <c r="AO48" s="205" t="str">
        <f t="shared" si="45"/>
        <v>Residential Electric Heat Pump - Ground to Water - SH - G rated dwelling</v>
      </c>
      <c r="AP48" s="100" t="s">
        <v>13</v>
      </c>
      <c r="AQ48" s="116" t="s">
        <v>119</v>
      </c>
      <c r="AR48" s="100" t="s">
        <v>684</v>
      </c>
      <c r="AS48" s="100"/>
      <c r="AT48" s="100" t="s">
        <v>75</v>
      </c>
    </row>
    <row r="49" spans="3:46" ht="12" customHeight="1" x14ac:dyDescent="0.25">
      <c r="C49" s="519" t="str">
        <f>"R-SH_Apt"&amp;"_"&amp;RIGHT(E49,3)&amp;"_HPN3-D"</f>
        <v>R-SH_Apt_ELC_HPN3-D</v>
      </c>
      <c r="D49" s="24" t="s">
        <v>631</v>
      </c>
      <c r="E49" s="24" t="s">
        <v>144</v>
      </c>
      <c r="F49" s="24" t="s">
        <v>539</v>
      </c>
      <c r="G49" s="24" t="s">
        <v>605</v>
      </c>
      <c r="H49" s="519">
        <f>(JRC_Data!$AC$18/JRC_Data!$AC$16)*AK311</f>
        <v>0.90288288288288288</v>
      </c>
      <c r="I49" s="23">
        <f>(JRC_Data!$AD$18/JRC_Data!$AC$16)*AK311</f>
        <v>0.99317117117117104</v>
      </c>
      <c r="J49" s="23">
        <f>(JRC_Data!$AE$18/JRC_Data!$AC$16)*AK311</f>
        <v>1.1135555555555556</v>
      </c>
      <c r="K49" s="562">
        <f>(JRC_Data!$AF$18/JRC_Data!$AC$16)*AK311</f>
        <v>1.2038438438438437</v>
      </c>
      <c r="L49" s="519"/>
      <c r="M49" s="23"/>
      <c r="N49" s="23"/>
      <c r="O49" s="562"/>
      <c r="P49" s="519"/>
      <c r="Q49" s="23"/>
      <c r="R49" s="23"/>
      <c r="S49" s="562"/>
      <c r="T49" s="450">
        <v>20</v>
      </c>
      <c r="U49" s="23"/>
      <c r="V49" s="519">
        <f>(JRC_Data!BC20/1000)*($U$286/$U$285)</f>
        <v>13.693333333333332</v>
      </c>
      <c r="W49" s="519">
        <f>(JRC_Data!BD20/1000)*($U$286/$U$285)</f>
        <v>12.639999999999999</v>
      </c>
      <c r="X49" s="519">
        <f>(JRC_Data!BE20/1000)*($U$286/$U$285)</f>
        <v>11.586666666666666</v>
      </c>
      <c r="Y49" s="519">
        <f>(JRC_Data!BF20/1000)*($U$286/$U$285)</f>
        <v>11.586666666666666</v>
      </c>
      <c r="Z49" s="562">
        <f>JRC_Data!BL20/1000</f>
        <v>0.2</v>
      </c>
      <c r="AA49" s="24"/>
      <c r="AB49" s="32"/>
      <c r="AC49" s="32"/>
      <c r="AD49" s="32"/>
      <c r="AE49" s="32"/>
      <c r="AF49" s="32"/>
      <c r="AG49" s="32"/>
      <c r="AH49" s="519">
        <f t="shared" si="46"/>
        <v>0.47304000000000002</v>
      </c>
      <c r="AI49" s="24"/>
      <c r="AJ49" s="24">
        <f t="shared" ref="AJ49:AJ52" si="47">IF($A$2="No",2100,2019)</f>
        <v>2100</v>
      </c>
      <c r="AK49" s="544">
        <v>15</v>
      </c>
      <c r="AM49" s="205"/>
      <c r="AN49" s="205" t="str">
        <f t="shared" si="45"/>
        <v>R-HC_Apt_ELC_HPN2-AB</v>
      </c>
      <c r="AO49" s="205" t="str">
        <f t="shared" si="45"/>
        <v>Residential Electric Heat Pump - Ground to Water - SH + SC - AB rated dwelling</v>
      </c>
      <c r="AP49" s="100" t="s">
        <v>13</v>
      </c>
      <c r="AQ49" s="118" t="s">
        <v>119</v>
      </c>
      <c r="AR49" s="100" t="s">
        <v>684</v>
      </c>
      <c r="AS49" s="100"/>
      <c r="AT49" s="100" t="s">
        <v>75</v>
      </c>
    </row>
    <row r="50" spans="3:46" ht="12" customHeight="1" x14ac:dyDescent="0.25">
      <c r="C50" s="521" t="str">
        <f>"R-SH_Apt"&amp;"_"&amp;RIGHT(E50,3)&amp;"_HPN3-E"</f>
        <v>R-SH_Apt_ELC_HPN3-E</v>
      </c>
      <c r="D50" s="30" t="s">
        <v>632</v>
      </c>
      <c r="E50" s="30" t="s">
        <v>144</v>
      </c>
      <c r="F50" s="30" t="s">
        <v>539</v>
      </c>
      <c r="G50" s="30" t="s">
        <v>606</v>
      </c>
      <c r="H50" s="521">
        <f>(JRC_Data!$AC$18/JRC_Data!$AC$16)*AK312</f>
        <v>0.85285285285285284</v>
      </c>
      <c r="I50" s="29">
        <f>(JRC_Data!$AD$18/JRC_Data!$AC$16)*AK312</f>
        <v>0.93813813813813796</v>
      </c>
      <c r="J50" s="29">
        <f>(JRC_Data!$AE$18/JRC_Data!$AC$16)*AK312</f>
        <v>1.0518518518518518</v>
      </c>
      <c r="K50" s="563">
        <f>(JRC_Data!$AF$18/JRC_Data!$AC$16)*AK312</f>
        <v>1.137137137137137</v>
      </c>
      <c r="L50" s="521"/>
      <c r="M50" s="29"/>
      <c r="N50" s="29"/>
      <c r="O50" s="563"/>
      <c r="P50" s="521"/>
      <c r="Q50" s="29"/>
      <c r="R50" s="29"/>
      <c r="S50" s="563"/>
      <c r="T50" s="451">
        <v>20</v>
      </c>
      <c r="U50" s="29"/>
      <c r="V50" s="521">
        <f>(JRC_Data!BC20/1000)*($U$286/$U$285)+RSD_Heating!$AH$312/1000</f>
        <v>15.426649999999999</v>
      </c>
      <c r="W50" s="521">
        <f>(JRC_Data!BD20/1000)*($U$286/$U$285)+RSD_Heating!$AH$312/1000</f>
        <v>14.373316666666666</v>
      </c>
      <c r="X50" s="521">
        <f>(JRC_Data!BE20/1000)*($U$286/$U$285)+RSD_Heating!$AH$312/1000</f>
        <v>13.319983333333333</v>
      </c>
      <c r="Y50" s="521">
        <f>(JRC_Data!BF20/1000)*($U$286/$U$285)+RSD_Heating!$AH$312/1000</f>
        <v>13.319983333333333</v>
      </c>
      <c r="Z50" s="563">
        <f>JRC_Data!BL20/1000</f>
        <v>0.2</v>
      </c>
      <c r="AA50" s="30"/>
      <c r="AB50" s="31"/>
      <c r="AC50" s="31"/>
      <c r="AD50" s="31"/>
      <c r="AE50" s="31"/>
      <c r="AF50" s="31"/>
      <c r="AG50" s="31"/>
      <c r="AH50" s="521">
        <f t="shared" si="46"/>
        <v>0.47304000000000002</v>
      </c>
      <c r="AI50" s="30"/>
      <c r="AJ50" s="24">
        <f t="shared" si="47"/>
        <v>2100</v>
      </c>
      <c r="AK50" s="545">
        <v>15</v>
      </c>
      <c r="AM50" s="205"/>
      <c r="AN50" s="205" t="str">
        <f t="shared" ref="AN50:AN54" si="48">C54</f>
        <v>R-HC_Apt_ELC_HPN2-ABC</v>
      </c>
      <c r="AO50" s="205" t="str">
        <f t="shared" ref="AO50:AO54" si="49">D54</f>
        <v>Residential Electric Heat Pump - Ground to Water - SH + SC - C rated dwelling</v>
      </c>
      <c r="AP50" s="100" t="s">
        <v>13</v>
      </c>
      <c r="AQ50" s="118" t="s">
        <v>119</v>
      </c>
      <c r="AR50" s="100" t="s">
        <v>684</v>
      </c>
      <c r="AS50" s="100"/>
      <c r="AT50" s="100" t="s">
        <v>75</v>
      </c>
    </row>
    <row r="51" spans="3:46" ht="12" customHeight="1" x14ac:dyDescent="0.25">
      <c r="C51" s="519" t="str">
        <f>"R-SH_Apt"&amp;"_"&amp;RIGHT(E51,3)&amp;"_HPN3-F"</f>
        <v>R-SH_Apt_ELC_HPN3-F</v>
      </c>
      <c r="D51" s="24" t="s">
        <v>633</v>
      </c>
      <c r="E51" s="24" t="s">
        <v>144</v>
      </c>
      <c r="F51" s="24" t="s">
        <v>539</v>
      </c>
      <c r="G51" s="24" t="s">
        <v>607</v>
      </c>
      <c r="H51" s="519">
        <f>(JRC_Data!$AC$18/JRC_Data!$AC$16)*AK313</f>
        <v>0.77927927927927931</v>
      </c>
      <c r="I51" s="23">
        <f>(JRC_Data!$AD$18/JRC_Data!$AC$16)*AK313</f>
        <v>0.85720720720720711</v>
      </c>
      <c r="J51" s="23">
        <f>(JRC_Data!$AE$18/JRC_Data!$AC$16)*AK313</f>
        <v>0.96111111111111125</v>
      </c>
      <c r="K51" s="562">
        <f>(JRC_Data!$AF$18/JRC_Data!$AC$16)*AK313</f>
        <v>1.0390390390390389</v>
      </c>
      <c r="L51" s="519"/>
      <c r="M51" s="23"/>
      <c r="N51" s="23"/>
      <c r="O51" s="562"/>
      <c r="P51" s="519"/>
      <c r="Q51" s="23"/>
      <c r="R51" s="23"/>
      <c r="S51" s="562"/>
      <c r="T51" s="450">
        <v>20</v>
      </c>
      <c r="U51" s="23"/>
      <c r="V51" s="519">
        <f>(JRC_Data!BC20/1000)*($U$286/$U$285)+RSD_Heating!$AH$313/1000</f>
        <v>15.608258333333332</v>
      </c>
      <c r="W51" s="519">
        <f>(JRC_Data!BD20/1000)*($U$286/$U$285)+RSD_Heating!$AH$313/1000</f>
        <v>14.554924999999999</v>
      </c>
      <c r="X51" s="519">
        <f>(JRC_Data!BE20/1000)*($U$286/$U$285)+RSD_Heating!$AH$313/1000</f>
        <v>13.501591666666666</v>
      </c>
      <c r="Y51" s="519">
        <f>(JRC_Data!BF20/1000)*($U$286/$U$285)+RSD_Heating!$AH$313/1000</f>
        <v>13.501591666666666</v>
      </c>
      <c r="Z51" s="562">
        <f>JRC_Data!BL20/1000</f>
        <v>0.2</v>
      </c>
      <c r="AA51" s="24"/>
      <c r="AB51" s="32"/>
      <c r="AC51" s="32"/>
      <c r="AD51" s="32"/>
      <c r="AE51" s="32"/>
      <c r="AF51" s="32"/>
      <c r="AG51" s="32"/>
      <c r="AH51" s="519">
        <f t="shared" si="46"/>
        <v>0.47304000000000002</v>
      </c>
      <c r="AI51" s="24"/>
      <c r="AJ51" s="24">
        <f t="shared" si="47"/>
        <v>2100</v>
      </c>
      <c r="AK51" s="544">
        <v>15</v>
      </c>
      <c r="AM51" s="205"/>
      <c r="AN51" s="205" t="str">
        <f t="shared" si="48"/>
        <v>R-HC_Apt_ELC_HPN2-ABD</v>
      </c>
      <c r="AO51" s="205" t="str">
        <f t="shared" si="49"/>
        <v>Residential Electric Heat Pump - Ground to Water - SH + SC - D rated dwelling</v>
      </c>
      <c r="AP51" s="100" t="s">
        <v>13</v>
      </c>
      <c r="AQ51" s="118" t="s">
        <v>119</v>
      </c>
      <c r="AR51" s="100" t="s">
        <v>684</v>
      </c>
      <c r="AS51" s="100"/>
      <c r="AT51" s="100" t="s">
        <v>75</v>
      </c>
    </row>
    <row r="52" spans="3:46" ht="12" customHeight="1" thickBot="1" x14ac:dyDescent="0.3">
      <c r="C52" s="546" t="str">
        <f>"R-SH_Apt"&amp;"_"&amp;RIGHT(E52,3)&amp;"_HPN3-G"</f>
        <v>R-SH_Apt_ELC_HPN3-G</v>
      </c>
      <c r="D52" s="547" t="s">
        <v>634</v>
      </c>
      <c r="E52" s="547" t="s">
        <v>144</v>
      </c>
      <c r="F52" s="547" t="s">
        <v>539</v>
      </c>
      <c r="G52" s="547" t="s">
        <v>628</v>
      </c>
      <c r="H52" s="546">
        <f>(JRC_Data!$AC$18/JRC_Data!$AC$16)*AK314</f>
        <v>0.70570570570570568</v>
      </c>
      <c r="I52" s="548">
        <f>(JRC_Data!$AD$18/JRC_Data!$AC$16)*AK314</f>
        <v>0.77627627627627616</v>
      </c>
      <c r="J52" s="548">
        <f>(JRC_Data!$AE$18/JRC_Data!$AC$16)*AK314</f>
        <v>0.87037037037037035</v>
      </c>
      <c r="K52" s="565">
        <f>(JRC_Data!$AF$18/JRC_Data!$AC$16)*AK314</f>
        <v>0.94094094094094083</v>
      </c>
      <c r="L52" s="546"/>
      <c r="M52" s="548"/>
      <c r="N52" s="548"/>
      <c r="O52" s="565"/>
      <c r="P52" s="546"/>
      <c r="Q52" s="548"/>
      <c r="R52" s="548"/>
      <c r="S52" s="565"/>
      <c r="T52" s="549">
        <v>20</v>
      </c>
      <c r="U52" s="548"/>
      <c r="V52" s="546">
        <f>(JRC_Data!BC20/1000)*($U$286/$U$285)+RSD_Heating!$AH$314/1000</f>
        <v>15.789866666666665</v>
      </c>
      <c r="W52" s="546">
        <f>(JRC_Data!BD20/1000)*($U$286/$U$285)+RSD_Heating!$AH$314/1000</f>
        <v>14.736533333333332</v>
      </c>
      <c r="X52" s="546">
        <f>(JRC_Data!BE20/1000)*($U$286/$U$285)+RSD_Heating!$AH$314/1000</f>
        <v>13.683199999999999</v>
      </c>
      <c r="Y52" s="546">
        <f>(JRC_Data!BF20/1000)*($U$286/$U$285)+RSD_Heating!$AH$314/1000</f>
        <v>13.683199999999999</v>
      </c>
      <c r="Z52" s="565">
        <f>JRC_Data!BL20/1000</f>
        <v>0.2</v>
      </c>
      <c r="AA52" s="547"/>
      <c r="AB52" s="550"/>
      <c r="AC52" s="550"/>
      <c r="AD52" s="550"/>
      <c r="AE52" s="550"/>
      <c r="AF52" s="550"/>
      <c r="AG52" s="550"/>
      <c r="AH52" s="546">
        <f t="shared" si="46"/>
        <v>0.47304000000000002</v>
      </c>
      <c r="AI52" s="547"/>
      <c r="AJ52" s="24">
        <f t="shared" si="47"/>
        <v>2100</v>
      </c>
      <c r="AK52" s="551">
        <v>15</v>
      </c>
      <c r="AM52" s="205"/>
      <c r="AN52" s="205" t="str">
        <f t="shared" si="48"/>
        <v>R-HC_Apt_ELC_HPN2-ABE</v>
      </c>
      <c r="AO52" s="205" t="str">
        <f t="shared" si="49"/>
        <v>Residential Electric Heat Pump - Ground to Water - SH + SC -E rated dwelling</v>
      </c>
      <c r="AP52" s="100" t="s">
        <v>13</v>
      </c>
      <c r="AQ52" s="118" t="s">
        <v>119</v>
      </c>
      <c r="AR52" s="100" t="s">
        <v>684</v>
      </c>
      <c r="AS52" s="100"/>
      <c r="AT52" s="100" t="s">
        <v>75</v>
      </c>
    </row>
    <row r="53" spans="3:46" ht="12" customHeight="1" x14ac:dyDescent="0.25">
      <c r="C53" s="554" t="str">
        <f>"R-HC_Apt"&amp;"_"&amp;RIGHT(E53,3)&amp;"_HPN2-AB"</f>
        <v>R-HC_Apt_ELC_HPN2-AB</v>
      </c>
      <c r="D53" s="555" t="s">
        <v>635</v>
      </c>
      <c r="E53" s="555" t="s">
        <v>144</v>
      </c>
      <c r="F53" s="555" t="s">
        <v>796</v>
      </c>
      <c r="G53" s="555" t="s">
        <v>765</v>
      </c>
      <c r="H53" s="554">
        <f>JRC_Data!AC20/JRC_Data!$AC$16</f>
        <v>1.0999999999999999</v>
      </c>
      <c r="I53" s="556">
        <f>JRC_Data!AD20/JRC_Data!$AC$16</f>
        <v>1.1666666666666667</v>
      </c>
      <c r="J53" s="556">
        <f>JRC_Data!AE20/JRC_Data!$AC$16</f>
        <v>1.3333333333333333</v>
      </c>
      <c r="K53" s="566">
        <f>JRC_Data!AF20/JRC_Data!$AC$16</f>
        <v>1.5</v>
      </c>
      <c r="L53" s="554">
        <f>H53*0.9</f>
        <v>0.98999999999999988</v>
      </c>
      <c r="M53" s="556">
        <f t="shared" ref="M53:O63" si="50">I53*0.9</f>
        <v>1.05</v>
      </c>
      <c r="N53" s="556">
        <f t="shared" si="50"/>
        <v>1.2</v>
      </c>
      <c r="O53" s="566">
        <f t="shared" si="50"/>
        <v>1.35</v>
      </c>
      <c r="P53" s="554"/>
      <c r="Q53" s="556"/>
      <c r="R53" s="556"/>
      <c r="S53" s="566"/>
      <c r="T53" s="557">
        <v>20</v>
      </c>
      <c r="U53" s="556"/>
      <c r="V53" s="554">
        <f>V42*1.1</f>
        <v>15.062666666666665</v>
      </c>
      <c r="W53" s="556">
        <f>W42*1.1</f>
        <v>13.904</v>
      </c>
      <c r="X53" s="556">
        <f>X42*1.1</f>
        <v>12.745333333333333</v>
      </c>
      <c r="Y53" s="556">
        <f>Y42*1.1</f>
        <v>12.745333333333333</v>
      </c>
      <c r="Z53" s="566">
        <f>JRC_Data!BL20/1000</f>
        <v>0.2</v>
      </c>
      <c r="AA53" s="555"/>
      <c r="AB53" s="558"/>
      <c r="AC53" s="558"/>
      <c r="AD53" s="558"/>
      <c r="AE53" s="558"/>
      <c r="AF53" s="558"/>
      <c r="AG53" s="558"/>
      <c r="AH53" s="554">
        <f>31.536*(AK53/1000)</f>
        <v>0.47304000000000002</v>
      </c>
      <c r="AI53" s="555"/>
      <c r="AJ53" s="555">
        <v>2019</v>
      </c>
      <c r="AK53" s="559">
        <v>15</v>
      </c>
      <c r="AM53" s="205"/>
      <c r="AN53" s="205" t="str">
        <f t="shared" si="48"/>
        <v>R-HC_Apt_ELC_HPN2-ABF</v>
      </c>
      <c r="AO53" s="205" t="str">
        <f t="shared" si="49"/>
        <v>Residential Electric Heat Pump - Ground to Water - SH + SC -F rated dwelling</v>
      </c>
      <c r="AP53" s="100" t="s">
        <v>13</v>
      </c>
      <c r="AQ53" s="118" t="s">
        <v>119</v>
      </c>
      <c r="AR53" s="100" t="s">
        <v>684</v>
      </c>
      <c r="AS53" s="100"/>
      <c r="AT53" s="100" t="s">
        <v>75</v>
      </c>
    </row>
    <row r="54" spans="3:46" ht="12" customHeight="1" x14ac:dyDescent="0.25">
      <c r="C54" s="521" t="str">
        <f>"R-HC_Apt"&amp;"_"&amp;RIGHT(E53,3)&amp;"_HPN2-ABC"</f>
        <v>R-HC_Apt_ELC_HPN2-ABC</v>
      </c>
      <c r="D54" s="30" t="s">
        <v>636</v>
      </c>
      <c r="E54" s="30" t="s">
        <v>144</v>
      </c>
      <c r="F54" s="30" t="s">
        <v>796</v>
      </c>
      <c r="G54" s="30" t="s">
        <v>715</v>
      </c>
      <c r="H54" s="521">
        <v>1.0999999999999999</v>
      </c>
      <c r="I54" s="29">
        <v>1.1666666666666667</v>
      </c>
      <c r="J54" s="29">
        <v>1.3333333333333333</v>
      </c>
      <c r="K54" s="563">
        <v>1.5</v>
      </c>
      <c r="L54" s="521">
        <v>0.98999999999999988</v>
      </c>
      <c r="M54" s="29">
        <v>1.05</v>
      </c>
      <c r="N54" s="29">
        <v>1.2</v>
      </c>
      <c r="O54" s="563">
        <v>1.35</v>
      </c>
      <c r="P54" s="521"/>
      <c r="Q54" s="29"/>
      <c r="R54" s="29"/>
      <c r="S54" s="563"/>
      <c r="T54" s="451">
        <v>20</v>
      </c>
      <c r="U54" s="29"/>
      <c r="V54" s="521">
        <v>15.062666666666665</v>
      </c>
      <c r="W54" s="29">
        <v>13.904</v>
      </c>
      <c r="X54" s="29">
        <v>12.745333333333333</v>
      </c>
      <c r="Y54" s="29">
        <v>12.745333333333333</v>
      </c>
      <c r="Z54" s="563">
        <v>0.2</v>
      </c>
      <c r="AA54" s="30"/>
      <c r="AB54" s="31"/>
      <c r="AC54" s="31"/>
      <c r="AD54" s="31"/>
      <c r="AE54" s="31"/>
      <c r="AF54" s="31"/>
      <c r="AG54" s="31"/>
      <c r="AH54" s="521">
        <f t="shared" ref="AH54:AH58" si="51">31.536*(AK54/1000)</f>
        <v>0.47304000000000002</v>
      </c>
      <c r="AI54" s="30"/>
      <c r="AJ54" s="30">
        <v>2019</v>
      </c>
      <c r="AK54" s="545">
        <v>15</v>
      </c>
      <c r="AM54" s="205"/>
      <c r="AN54" s="205" t="str">
        <f t="shared" si="48"/>
        <v>R-HC_Apt_ELC_HPN2-ABG</v>
      </c>
      <c r="AO54" s="205" t="str">
        <f t="shared" si="49"/>
        <v>Residential Electric Heat Pump - Ground to Water - SH + SC - G rated dwelling</v>
      </c>
      <c r="AP54" s="100" t="s">
        <v>13</v>
      </c>
      <c r="AQ54" s="118" t="s">
        <v>119</v>
      </c>
      <c r="AR54" s="100" t="s">
        <v>684</v>
      </c>
      <c r="AS54" s="100"/>
      <c r="AT54" s="100" t="s">
        <v>75</v>
      </c>
    </row>
    <row r="55" spans="3:46" ht="12" customHeight="1" x14ac:dyDescent="0.25">
      <c r="C55" s="519" t="str">
        <f>"R-HC_Apt"&amp;"_"&amp;RIGHT(E54,3)&amp;"_HPN2-ABD"</f>
        <v>R-HC_Apt_ELC_HPN2-ABD</v>
      </c>
      <c r="D55" s="24" t="s">
        <v>637</v>
      </c>
      <c r="E55" s="24" t="s">
        <v>144</v>
      </c>
      <c r="F55" s="24" t="s">
        <v>796</v>
      </c>
      <c r="G55" s="24" t="s">
        <v>742</v>
      </c>
      <c r="H55" s="519">
        <v>1.0999999999999999</v>
      </c>
      <c r="I55" s="23">
        <v>1.1666666666666667</v>
      </c>
      <c r="J55" s="23">
        <v>1.3333333333333333</v>
      </c>
      <c r="K55" s="562">
        <v>1.5</v>
      </c>
      <c r="L55" s="519">
        <v>0.98999999999999988</v>
      </c>
      <c r="M55" s="23">
        <v>1.05</v>
      </c>
      <c r="N55" s="23">
        <v>1.2</v>
      </c>
      <c r="O55" s="562">
        <v>1.35</v>
      </c>
      <c r="P55" s="519"/>
      <c r="Q55" s="23"/>
      <c r="R55" s="23"/>
      <c r="S55" s="562"/>
      <c r="T55" s="450">
        <v>20</v>
      </c>
      <c r="U55" s="23"/>
      <c r="V55" s="519">
        <v>15.062666666666665</v>
      </c>
      <c r="W55" s="23">
        <v>13.904</v>
      </c>
      <c r="X55" s="23">
        <v>12.745333333333333</v>
      </c>
      <c r="Y55" s="23">
        <v>12.745333333333333</v>
      </c>
      <c r="Z55" s="562">
        <v>0.2</v>
      </c>
      <c r="AA55" s="24"/>
      <c r="AB55" s="32"/>
      <c r="AC55" s="32"/>
      <c r="AD55" s="32"/>
      <c r="AE55" s="32"/>
      <c r="AF55" s="32"/>
      <c r="AG55" s="32"/>
      <c r="AH55" s="519">
        <f t="shared" si="51"/>
        <v>0.47304000000000002</v>
      </c>
      <c r="AI55" s="24"/>
      <c r="AJ55" s="24">
        <v>2019</v>
      </c>
      <c r="AK55" s="544">
        <v>15</v>
      </c>
      <c r="AM55" s="205"/>
      <c r="AN55" s="205" t="str">
        <f t="shared" ref="AN55:AO59" si="52">C59</f>
        <v>R-HC_Apt_ELC_HPN2-C</v>
      </c>
      <c r="AO55" s="205" t="str">
        <f t="shared" si="52"/>
        <v>Residential Electric Heat Pump - Ground to Water - SH + SC - C rated dwelling</v>
      </c>
      <c r="AP55" s="100" t="s">
        <v>13</v>
      </c>
      <c r="AQ55" s="116" t="s">
        <v>119</v>
      </c>
      <c r="AR55" s="100" t="s">
        <v>684</v>
      </c>
      <c r="AS55" s="100"/>
      <c r="AT55" s="100" t="s">
        <v>75</v>
      </c>
    </row>
    <row r="56" spans="3:46" ht="12" customHeight="1" x14ac:dyDescent="0.25">
      <c r="C56" s="521" t="str">
        <f>"R-HC_Apt"&amp;"_"&amp;RIGHT(E55,3)&amp;"_HPN2-ABE"</f>
        <v>R-HC_Apt_ELC_HPN2-ABE</v>
      </c>
      <c r="D56" s="30" t="s">
        <v>744</v>
      </c>
      <c r="E56" s="30" t="s">
        <v>144</v>
      </c>
      <c r="F56" s="30" t="s">
        <v>796</v>
      </c>
      <c r="G56" s="30" t="s">
        <v>713</v>
      </c>
      <c r="H56" s="521">
        <v>1.0999999999999999</v>
      </c>
      <c r="I56" s="29">
        <v>1.1666666666666667</v>
      </c>
      <c r="J56" s="29">
        <v>1.3333333333333333</v>
      </c>
      <c r="K56" s="563">
        <v>1.5</v>
      </c>
      <c r="L56" s="521">
        <v>0.98999999999999988</v>
      </c>
      <c r="M56" s="29">
        <v>1.05</v>
      </c>
      <c r="N56" s="29">
        <v>1.2</v>
      </c>
      <c r="O56" s="563">
        <v>1.35</v>
      </c>
      <c r="P56" s="521"/>
      <c r="Q56" s="29"/>
      <c r="R56" s="29"/>
      <c r="S56" s="563"/>
      <c r="T56" s="451">
        <v>20</v>
      </c>
      <c r="U56" s="29"/>
      <c r="V56" s="521">
        <v>15.062666666666665</v>
      </c>
      <c r="W56" s="29">
        <v>13.904</v>
      </c>
      <c r="X56" s="29">
        <v>12.745333333333333</v>
      </c>
      <c r="Y56" s="29">
        <v>12.745333333333333</v>
      </c>
      <c r="Z56" s="563">
        <v>0.2</v>
      </c>
      <c r="AA56" s="30"/>
      <c r="AB56" s="31"/>
      <c r="AC56" s="31"/>
      <c r="AD56" s="31"/>
      <c r="AE56" s="31"/>
      <c r="AF56" s="31"/>
      <c r="AG56" s="31"/>
      <c r="AH56" s="521">
        <f t="shared" si="51"/>
        <v>0.47304000000000002</v>
      </c>
      <c r="AI56" s="30"/>
      <c r="AJ56" s="30">
        <v>2019</v>
      </c>
      <c r="AK56" s="545">
        <v>15</v>
      </c>
      <c r="AM56" s="205"/>
      <c r="AN56" s="205" t="str">
        <f t="shared" si="52"/>
        <v>R-HC_Apt_ELC_HPN2-D</v>
      </c>
      <c r="AO56" s="205" t="str">
        <f t="shared" si="52"/>
        <v>Residential Electric Heat Pump - Ground to Water - SH + SC - D rated dwelling</v>
      </c>
      <c r="AP56" s="100" t="s">
        <v>13</v>
      </c>
      <c r="AQ56" s="116" t="s">
        <v>119</v>
      </c>
      <c r="AR56" s="100" t="s">
        <v>684</v>
      </c>
      <c r="AS56" s="100"/>
      <c r="AT56" s="100" t="s">
        <v>75</v>
      </c>
    </row>
    <row r="57" spans="3:46" ht="12" customHeight="1" x14ac:dyDescent="0.25">
      <c r="C57" s="519" t="str">
        <f>"R-HC_Apt"&amp;"_"&amp;RIGHT(E56,3)&amp;"_HPN2-ABF"</f>
        <v>R-HC_Apt_ELC_HPN2-ABF</v>
      </c>
      <c r="D57" s="24" t="s">
        <v>745</v>
      </c>
      <c r="E57" s="24" t="s">
        <v>144</v>
      </c>
      <c r="F57" s="24" t="s">
        <v>796</v>
      </c>
      <c r="G57" s="24" t="s">
        <v>716</v>
      </c>
      <c r="H57" s="519">
        <v>1.0999999999999999</v>
      </c>
      <c r="I57" s="23">
        <v>1.1666666666666667</v>
      </c>
      <c r="J57" s="23">
        <v>1.3333333333333333</v>
      </c>
      <c r="K57" s="562">
        <v>1.5</v>
      </c>
      <c r="L57" s="519">
        <v>0.98999999999999988</v>
      </c>
      <c r="M57" s="23">
        <v>1.05</v>
      </c>
      <c r="N57" s="23">
        <v>1.2</v>
      </c>
      <c r="O57" s="562">
        <v>1.35</v>
      </c>
      <c r="P57" s="519"/>
      <c r="Q57" s="23"/>
      <c r="R57" s="23"/>
      <c r="S57" s="562"/>
      <c r="T57" s="450">
        <v>20</v>
      </c>
      <c r="U57" s="23"/>
      <c r="V57" s="519">
        <v>15.062666666666665</v>
      </c>
      <c r="W57" s="23">
        <v>13.904</v>
      </c>
      <c r="X57" s="23">
        <v>12.745333333333333</v>
      </c>
      <c r="Y57" s="23">
        <v>12.745333333333333</v>
      </c>
      <c r="Z57" s="562">
        <v>0.2</v>
      </c>
      <c r="AA57" s="24"/>
      <c r="AB57" s="32"/>
      <c r="AC57" s="32"/>
      <c r="AD57" s="32"/>
      <c r="AE57" s="32"/>
      <c r="AF57" s="32"/>
      <c r="AG57" s="32"/>
      <c r="AH57" s="519">
        <f t="shared" si="51"/>
        <v>0.47304000000000002</v>
      </c>
      <c r="AI57" s="24"/>
      <c r="AJ57" s="24">
        <v>2019</v>
      </c>
      <c r="AK57" s="544">
        <v>15</v>
      </c>
      <c r="AM57" s="205"/>
      <c r="AN57" s="205" t="str">
        <f t="shared" si="52"/>
        <v>R-HC_Apt_ELC_HPN2-E</v>
      </c>
      <c r="AO57" s="205" t="str">
        <f t="shared" si="52"/>
        <v>Residential Electric Heat Pump - Ground to Water - SH + SC - E rated dwelling</v>
      </c>
      <c r="AP57" s="100" t="s">
        <v>13</v>
      </c>
      <c r="AQ57" s="118" t="s">
        <v>119</v>
      </c>
      <c r="AR57" s="100" t="s">
        <v>684</v>
      </c>
      <c r="AS57" s="100"/>
      <c r="AT57" s="100" t="s">
        <v>75</v>
      </c>
    </row>
    <row r="58" spans="3:46" ht="12" customHeight="1" thickBot="1" x14ac:dyDescent="0.3">
      <c r="C58" s="567" t="str">
        <f>"R-HC_Apt"&amp;"_"&amp;RIGHT(E57,3)&amp;"_HPN2-ABG"</f>
        <v>R-HC_Apt_ELC_HPN2-ABG</v>
      </c>
      <c r="D58" s="112" t="s">
        <v>640</v>
      </c>
      <c r="E58" s="112" t="s">
        <v>144</v>
      </c>
      <c r="F58" s="112" t="s">
        <v>796</v>
      </c>
      <c r="G58" s="112" t="s">
        <v>714</v>
      </c>
      <c r="H58" s="567">
        <v>1.0999999999999999</v>
      </c>
      <c r="I58" s="568">
        <v>1.1666666666666667</v>
      </c>
      <c r="J58" s="568">
        <v>1.3333333333333333</v>
      </c>
      <c r="K58" s="569">
        <v>1.5</v>
      </c>
      <c r="L58" s="567">
        <v>0.98999999999999988</v>
      </c>
      <c r="M58" s="568">
        <v>1.05</v>
      </c>
      <c r="N58" s="568">
        <v>1.2</v>
      </c>
      <c r="O58" s="569">
        <v>1.35</v>
      </c>
      <c r="P58" s="567"/>
      <c r="Q58" s="568"/>
      <c r="R58" s="568"/>
      <c r="S58" s="569"/>
      <c r="T58" s="570">
        <v>20</v>
      </c>
      <c r="U58" s="568"/>
      <c r="V58" s="567">
        <v>15.062666666666665</v>
      </c>
      <c r="W58" s="568">
        <v>13.904</v>
      </c>
      <c r="X58" s="568">
        <v>12.745333333333333</v>
      </c>
      <c r="Y58" s="568">
        <v>12.745333333333333</v>
      </c>
      <c r="Z58" s="569">
        <v>0.2</v>
      </c>
      <c r="AA58" s="112"/>
      <c r="AB58" s="571"/>
      <c r="AC58" s="571"/>
      <c r="AD58" s="571"/>
      <c r="AE58" s="571"/>
      <c r="AF58" s="571"/>
      <c r="AG58" s="571"/>
      <c r="AH58" s="567">
        <f t="shared" si="51"/>
        <v>0.47304000000000002</v>
      </c>
      <c r="AI58" s="112"/>
      <c r="AJ58" s="112">
        <v>2019</v>
      </c>
      <c r="AK58" s="572">
        <v>15</v>
      </c>
      <c r="AM58" s="205"/>
      <c r="AN58" s="205" t="str">
        <f t="shared" si="52"/>
        <v>R-HC_Apt_ELC_HPN2-F</v>
      </c>
      <c r="AO58" s="205" t="str">
        <f t="shared" si="52"/>
        <v>Residential Electric Heat Pump - Ground to Water - SH + SC - F rated dwelling</v>
      </c>
      <c r="AP58" s="100" t="s">
        <v>13</v>
      </c>
      <c r="AQ58" s="116" t="s">
        <v>119</v>
      </c>
      <c r="AR58" s="100" t="s">
        <v>684</v>
      </c>
      <c r="AS58" s="100"/>
      <c r="AT58" s="100" t="s">
        <v>75</v>
      </c>
    </row>
    <row r="59" spans="3:46" ht="12" customHeight="1" thickBot="1" x14ac:dyDescent="0.3">
      <c r="C59" s="519" t="str">
        <f>"R-HC_Apt"&amp;"_"&amp;RIGHT(E59,3)&amp;"_HPN2-C"</f>
        <v>R-HC_Apt_ELC_HPN2-C</v>
      </c>
      <c r="D59" s="24" t="s">
        <v>636</v>
      </c>
      <c r="E59" s="24" t="s">
        <v>144</v>
      </c>
      <c r="F59" s="555" t="s">
        <v>796</v>
      </c>
      <c r="G59" s="24" t="s">
        <v>715</v>
      </c>
      <c r="H59" s="519">
        <f>(JRC_Data!$AC$18/JRC_Data!$AC$16)*AK310</f>
        <v>0.95144144144144138</v>
      </c>
      <c r="I59" s="23">
        <f>(JRC_Data!$AD$18/JRC_Data!$AC$16)*AK310</f>
        <v>1.0465855855855855</v>
      </c>
      <c r="J59" s="23">
        <f>(JRC_Data!$AE$18/JRC_Data!$AC$16)*AK310</f>
        <v>1.1734444444444445</v>
      </c>
      <c r="K59" s="562">
        <f>(JRC_Data!$AF$18/JRC_Data!$AC$16)*AK310</f>
        <v>1.2685885885885884</v>
      </c>
      <c r="L59" s="519">
        <f t="shared" ref="L59:L63" si="53">H59*0.9</f>
        <v>0.85629729729729731</v>
      </c>
      <c r="M59" s="23">
        <f t="shared" si="50"/>
        <v>0.94192702702702691</v>
      </c>
      <c r="N59" s="23">
        <f t="shared" si="50"/>
        <v>1.0561</v>
      </c>
      <c r="O59" s="562">
        <f t="shared" si="50"/>
        <v>1.1417297297297295</v>
      </c>
      <c r="P59" s="519"/>
      <c r="Q59" s="23"/>
      <c r="R59" s="23"/>
      <c r="S59" s="562"/>
      <c r="T59" s="450">
        <v>20</v>
      </c>
      <c r="U59" s="23"/>
      <c r="V59" s="519">
        <f t="shared" ref="V59:Y63" si="54">V48*1.1</f>
        <v>15.062666666666665</v>
      </c>
      <c r="W59" s="23">
        <f t="shared" si="54"/>
        <v>13.904</v>
      </c>
      <c r="X59" s="23">
        <f t="shared" si="54"/>
        <v>12.745333333333333</v>
      </c>
      <c r="Y59" s="23">
        <f t="shared" si="54"/>
        <v>12.745333333333333</v>
      </c>
      <c r="Z59" s="562">
        <f>JRC_Data!BL20/1000</f>
        <v>0.2</v>
      </c>
      <c r="AA59" s="24"/>
      <c r="AB59" s="32"/>
      <c r="AC59" s="32"/>
      <c r="AD59" s="32"/>
      <c r="AE59" s="32"/>
      <c r="AF59" s="32"/>
      <c r="AG59" s="32"/>
      <c r="AH59" s="519">
        <f t="shared" ref="AH59:AH63" si="55">31.536*(AK59/1000)</f>
        <v>0.47304000000000002</v>
      </c>
      <c r="AI59" s="24"/>
      <c r="AJ59" s="24">
        <f>IF($A$2="No",2100,2019)</f>
        <v>2100</v>
      </c>
      <c r="AK59" s="544">
        <v>15</v>
      </c>
      <c r="AM59" s="205"/>
      <c r="AN59" s="205" t="str">
        <f t="shared" si="52"/>
        <v>R-HC_Apt_ELC_HPN2-G</v>
      </c>
      <c r="AO59" s="205" t="str">
        <f t="shared" si="52"/>
        <v>Residential Electric Heat Pump - Ground to Water - SH + SC - G rated dwelling</v>
      </c>
      <c r="AP59" s="100" t="s">
        <v>13</v>
      </c>
      <c r="AQ59" s="116" t="s">
        <v>119</v>
      </c>
      <c r="AR59" s="100" t="s">
        <v>684</v>
      </c>
      <c r="AS59" s="100"/>
      <c r="AT59" s="100" t="s">
        <v>75</v>
      </c>
    </row>
    <row r="60" spans="3:46" ht="12" customHeight="1" x14ac:dyDescent="0.25">
      <c r="C60" s="521" t="str">
        <f>"R-HC_Apt"&amp;"_"&amp;RIGHT(E60,3)&amp;"_HPN2-D"</f>
        <v>R-HC_Apt_ELC_HPN2-D</v>
      </c>
      <c r="D60" s="30" t="s">
        <v>637</v>
      </c>
      <c r="E60" s="30" t="s">
        <v>144</v>
      </c>
      <c r="F60" s="30" t="s">
        <v>796</v>
      </c>
      <c r="G60" s="30" t="s">
        <v>742</v>
      </c>
      <c r="H60" s="521">
        <f>(JRC_Data!$AC$18/JRC_Data!$AC$16)*AK311</f>
        <v>0.90288288288288288</v>
      </c>
      <c r="I60" s="29">
        <f>(JRC_Data!$AD$18/JRC_Data!$AC$16)*AK311</f>
        <v>0.99317117117117104</v>
      </c>
      <c r="J60" s="29">
        <f>(JRC_Data!$AE$18/JRC_Data!$AC$16)*AK311</f>
        <v>1.1135555555555556</v>
      </c>
      <c r="K60" s="563">
        <f>(JRC_Data!$AF$18/JRC_Data!$AC$16)*AK311</f>
        <v>1.2038438438438437</v>
      </c>
      <c r="L60" s="521">
        <f t="shared" si="53"/>
        <v>0.8125945945945946</v>
      </c>
      <c r="M60" s="29">
        <f t="shared" si="50"/>
        <v>0.89385405405405394</v>
      </c>
      <c r="N60" s="29">
        <f t="shared" si="50"/>
        <v>1.0022000000000002</v>
      </c>
      <c r="O60" s="563">
        <f t="shared" si="50"/>
        <v>1.0834594594594593</v>
      </c>
      <c r="P60" s="521"/>
      <c r="Q60" s="29"/>
      <c r="R60" s="29"/>
      <c r="S60" s="563"/>
      <c r="T60" s="451">
        <v>20</v>
      </c>
      <c r="U60" s="29"/>
      <c r="V60" s="521">
        <f t="shared" si="54"/>
        <v>15.062666666666665</v>
      </c>
      <c r="W60" s="29">
        <f t="shared" si="54"/>
        <v>13.904</v>
      </c>
      <c r="X60" s="29">
        <f t="shared" si="54"/>
        <v>12.745333333333333</v>
      </c>
      <c r="Y60" s="29">
        <f t="shared" si="54"/>
        <v>12.745333333333333</v>
      </c>
      <c r="Z60" s="563">
        <f>JRC_Data!BL20/1000</f>
        <v>0.2</v>
      </c>
      <c r="AA60" s="30"/>
      <c r="AB60" s="31"/>
      <c r="AC60" s="31"/>
      <c r="AD60" s="31"/>
      <c r="AE60" s="31"/>
      <c r="AF60" s="31"/>
      <c r="AG60" s="31"/>
      <c r="AH60" s="521">
        <f t="shared" si="55"/>
        <v>0.47304000000000002</v>
      </c>
      <c r="AI60" s="30"/>
      <c r="AJ60" s="24">
        <f t="shared" ref="AJ60:AJ63" si="56">IF($A$2="No",2100,2019)</f>
        <v>2100</v>
      </c>
      <c r="AK60" s="545">
        <v>15</v>
      </c>
      <c r="AM60" s="107"/>
      <c r="AN60" s="97" t="str">
        <f>C65</f>
        <v>R-SW_Apt_GAS_HPN1</v>
      </c>
      <c r="AO60" s="97" t="str">
        <f>D65</f>
        <v>Residential Gas Absorption Heat Pump - Air to Water - SH + WH</v>
      </c>
      <c r="AP60" s="98" t="s">
        <v>13</v>
      </c>
      <c r="AQ60" s="118" t="s">
        <v>119</v>
      </c>
      <c r="AR60" s="100" t="s">
        <v>684</v>
      </c>
      <c r="AS60" s="98"/>
      <c r="AT60" s="98" t="s">
        <v>75</v>
      </c>
    </row>
    <row r="61" spans="3:46" ht="12" customHeight="1" thickBot="1" x14ac:dyDescent="0.3">
      <c r="C61" s="519" t="str">
        <f>"R-HC_Apt"&amp;"_"&amp;RIGHT(E61,3)&amp;"_HPN2-E"</f>
        <v>R-HC_Apt_ELC_HPN2-E</v>
      </c>
      <c r="D61" s="24" t="s">
        <v>638</v>
      </c>
      <c r="E61" s="24" t="s">
        <v>144</v>
      </c>
      <c r="F61" s="24" t="s">
        <v>796</v>
      </c>
      <c r="G61" s="24" t="s">
        <v>713</v>
      </c>
      <c r="H61" s="519">
        <f>(JRC_Data!$AC$18/JRC_Data!$AC$16)*AK312</f>
        <v>0.85285285285285284</v>
      </c>
      <c r="I61" s="23">
        <f>(JRC_Data!$AD$18/JRC_Data!$AC$16)*AK312</f>
        <v>0.93813813813813796</v>
      </c>
      <c r="J61" s="23">
        <f>(JRC_Data!$AE$18/JRC_Data!$AC$16)*AK312</f>
        <v>1.0518518518518518</v>
      </c>
      <c r="K61" s="562">
        <f>(JRC_Data!$AF$18/JRC_Data!$AC$16)*AK312</f>
        <v>1.137137137137137</v>
      </c>
      <c r="L61" s="519">
        <f t="shared" si="53"/>
        <v>0.76756756756756761</v>
      </c>
      <c r="M61" s="23">
        <f t="shared" si="50"/>
        <v>0.84432432432432414</v>
      </c>
      <c r="N61" s="23">
        <f t="shared" si="50"/>
        <v>0.94666666666666666</v>
      </c>
      <c r="O61" s="562">
        <f t="shared" si="50"/>
        <v>1.0234234234234234</v>
      </c>
      <c r="P61" s="519"/>
      <c r="Q61" s="23"/>
      <c r="R61" s="23"/>
      <c r="S61" s="562"/>
      <c r="T61" s="450">
        <v>20</v>
      </c>
      <c r="U61" s="23"/>
      <c r="V61" s="519">
        <f t="shared" si="54"/>
        <v>16.969314999999998</v>
      </c>
      <c r="W61" s="23">
        <f t="shared" si="54"/>
        <v>15.810648333333333</v>
      </c>
      <c r="X61" s="23">
        <f t="shared" si="54"/>
        <v>14.651981666666668</v>
      </c>
      <c r="Y61" s="23">
        <f t="shared" si="54"/>
        <v>14.651981666666668</v>
      </c>
      <c r="Z61" s="562">
        <f>JRC_Data!BL20/1000</f>
        <v>0.2</v>
      </c>
      <c r="AA61" s="24"/>
      <c r="AB61" s="32"/>
      <c r="AC61" s="32"/>
      <c r="AD61" s="32"/>
      <c r="AE61" s="32"/>
      <c r="AF61" s="32"/>
      <c r="AG61" s="32"/>
      <c r="AH61" s="519">
        <f t="shared" si="55"/>
        <v>0.47304000000000002</v>
      </c>
      <c r="AI61" s="24"/>
      <c r="AJ61" s="24">
        <f t="shared" si="56"/>
        <v>2100</v>
      </c>
      <c r="AK61" s="544">
        <v>15</v>
      </c>
      <c r="AM61" s="206"/>
      <c r="AN61" s="102" t="str">
        <f>C66</f>
        <v>R-SW_Apt_GAS_HPN2</v>
      </c>
      <c r="AO61" s="102" t="str">
        <f>D66</f>
        <v>Residential Gas Engine Heat Pump - Air to Water - SH + WH</v>
      </c>
      <c r="AP61" s="103" t="s">
        <v>13</v>
      </c>
      <c r="AQ61" s="116" t="s">
        <v>119</v>
      </c>
      <c r="AR61" s="100" t="s">
        <v>684</v>
      </c>
      <c r="AS61" s="103"/>
      <c r="AT61" s="103" t="s">
        <v>75</v>
      </c>
    </row>
    <row r="62" spans="3:46" ht="12" customHeight="1" thickBot="1" x14ac:dyDescent="0.3">
      <c r="C62" s="521" t="str">
        <f>"R-HC_Apt"&amp;"_"&amp;RIGHT(E62,3)&amp;"_HPN2-F"</f>
        <v>R-HC_Apt_ELC_HPN2-F</v>
      </c>
      <c r="D62" s="30" t="s">
        <v>639</v>
      </c>
      <c r="E62" s="30" t="s">
        <v>144</v>
      </c>
      <c r="F62" s="30" t="s">
        <v>796</v>
      </c>
      <c r="G62" s="30" t="s">
        <v>716</v>
      </c>
      <c r="H62" s="521">
        <f>(JRC_Data!$AC$18/JRC_Data!$AC$16)*AK313</f>
        <v>0.77927927927927931</v>
      </c>
      <c r="I62" s="29">
        <f>(JRC_Data!$AD$18/JRC_Data!$AC$16)*AK313</f>
        <v>0.85720720720720711</v>
      </c>
      <c r="J62" s="29">
        <f>(JRC_Data!$AE$18/JRC_Data!$AC$16)*AK313</f>
        <v>0.96111111111111125</v>
      </c>
      <c r="K62" s="563">
        <f>(JRC_Data!$AF$18/JRC_Data!$AC$16)*AK313</f>
        <v>1.0390390390390389</v>
      </c>
      <c r="L62" s="521">
        <f t="shared" si="53"/>
        <v>0.7013513513513514</v>
      </c>
      <c r="M62" s="29">
        <f t="shared" si="50"/>
        <v>0.77148648648648643</v>
      </c>
      <c r="N62" s="29">
        <f t="shared" si="50"/>
        <v>0.8650000000000001</v>
      </c>
      <c r="O62" s="563">
        <f t="shared" si="50"/>
        <v>0.93513513513513502</v>
      </c>
      <c r="P62" s="521"/>
      <c r="Q62" s="29"/>
      <c r="R62" s="29"/>
      <c r="S62" s="563"/>
      <c r="T62" s="451">
        <v>20</v>
      </c>
      <c r="U62" s="29"/>
      <c r="V62" s="521">
        <f t="shared" si="54"/>
        <v>17.169084166666668</v>
      </c>
      <c r="W62" s="29">
        <f t="shared" si="54"/>
        <v>16.010417499999999</v>
      </c>
      <c r="X62" s="29">
        <f t="shared" si="54"/>
        <v>14.851750833333334</v>
      </c>
      <c r="Y62" s="29">
        <f t="shared" si="54"/>
        <v>14.851750833333334</v>
      </c>
      <c r="Z62" s="563">
        <f>JRC_Data!BL20/1000</f>
        <v>0.2</v>
      </c>
      <c r="AA62" s="30"/>
      <c r="AB62" s="31"/>
      <c r="AC62" s="31"/>
      <c r="AD62" s="31"/>
      <c r="AE62" s="31"/>
      <c r="AF62" s="31"/>
      <c r="AG62" s="31"/>
      <c r="AH62" s="521">
        <f t="shared" si="55"/>
        <v>0.47304000000000002</v>
      </c>
      <c r="AI62" s="30"/>
      <c r="AJ62" s="24">
        <f t="shared" si="56"/>
        <v>2100</v>
      </c>
      <c r="AK62" s="545">
        <v>15</v>
      </c>
      <c r="AM62" s="207"/>
      <c r="AN62" s="105" t="str">
        <f>C68</f>
        <v>R-SW_Apt_GAS_HHPN1</v>
      </c>
      <c r="AO62" s="105" t="str">
        <f>D68</f>
        <v>Residential Gas Hybrid Heat Pump - Air to Water - SH + WH</v>
      </c>
      <c r="AP62" s="104" t="s">
        <v>13</v>
      </c>
      <c r="AQ62" s="116" t="s">
        <v>119</v>
      </c>
      <c r="AR62" s="104"/>
      <c r="AS62" s="104"/>
      <c r="AT62" s="104" t="s">
        <v>75</v>
      </c>
    </row>
    <row r="63" spans="3:46" ht="12" customHeight="1" thickBot="1" x14ac:dyDescent="0.3">
      <c r="C63" s="523" t="str">
        <f>"R-HC_Apt"&amp;"_"&amp;RIGHT(E63,3)&amp;"_HPN2-G"</f>
        <v>R-HC_Apt_ELC_HPN2-G</v>
      </c>
      <c r="D63" s="524" t="s">
        <v>640</v>
      </c>
      <c r="E63" s="524" t="s">
        <v>144</v>
      </c>
      <c r="F63" s="24" t="s">
        <v>796</v>
      </c>
      <c r="G63" s="524" t="s">
        <v>714</v>
      </c>
      <c r="H63" s="523">
        <f>(JRC_Data!$AC$18/JRC_Data!$AC$16)*AK314</f>
        <v>0.70570570570570568</v>
      </c>
      <c r="I63" s="526">
        <f>(JRC_Data!$AD$18/JRC_Data!$AC$16)*AK314</f>
        <v>0.77627627627627616</v>
      </c>
      <c r="J63" s="526">
        <f>(JRC_Data!$AE$18/JRC_Data!$AC$16)*AK314</f>
        <v>0.87037037037037035</v>
      </c>
      <c r="K63" s="561">
        <f>(JRC_Data!$AF$18/JRC_Data!$AC$16)*AK314</f>
        <v>0.94094094094094083</v>
      </c>
      <c r="L63" s="523">
        <f t="shared" si="53"/>
        <v>0.63513513513513509</v>
      </c>
      <c r="M63" s="526">
        <f t="shared" si="50"/>
        <v>0.69864864864864851</v>
      </c>
      <c r="N63" s="526">
        <f t="shared" si="50"/>
        <v>0.78333333333333333</v>
      </c>
      <c r="O63" s="561">
        <f t="shared" si="50"/>
        <v>0.84684684684684675</v>
      </c>
      <c r="P63" s="523"/>
      <c r="Q63" s="526"/>
      <c r="R63" s="526"/>
      <c r="S63" s="561"/>
      <c r="T63" s="541">
        <v>20</v>
      </c>
      <c r="U63" s="526"/>
      <c r="V63" s="523">
        <f t="shared" si="54"/>
        <v>17.368853333333334</v>
      </c>
      <c r="W63" s="526">
        <f t="shared" si="54"/>
        <v>16.210186666666665</v>
      </c>
      <c r="X63" s="526">
        <f t="shared" si="54"/>
        <v>15.05152</v>
      </c>
      <c r="Y63" s="526">
        <f t="shared" si="54"/>
        <v>15.05152</v>
      </c>
      <c r="Z63" s="561">
        <f>JRC_Data!BL20/1000</f>
        <v>0.2</v>
      </c>
      <c r="AA63" s="524"/>
      <c r="AB63" s="542"/>
      <c r="AC63" s="542"/>
      <c r="AD63" s="542"/>
      <c r="AE63" s="542"/>
      <c r="AF63" s="542"/>
      <c r="AG63" s="542"/>
      <c r="AH63" s="523">
        <f t="shared" si="55"/>
        <v>0.47304000000000002</v>
      </c>
      <c r="AI63" s="524"/>
      <c r="AJ63" s="24">
        <f t="shared" si="56"/>
        <v>2100</v>
      </c>
      <c r="AK63" s="543">
        <v>15</v>
      </c>
      <c r="AM63" s="208"/>
      <c r="AN63" s="504" t="str">
        <f>C70</f>
        <v>R-SW_Apt_HET_N1</v>
      </c>
      <c r="AO63" s="97" t="str">
        <f>D70</f>
        <v>Residential District Heating HIU - SH + WH</v>
      </c>
      <c r="AP63" s="98" t="s">
        <v>13</v>
      </c>
      <c r="AQ63" s="118" t="s">
        <v>119</v>
      </c>
      <c r="AR63" s="100" t="s">
        <v>684</v>
      </c>
      <c r="AS63" s="98"/>
      <c r="AT63" s="98" t="s">
        <v>75</v>
      </c>
    </row>
    <row r="64" spans="3:46" ht="15.75" thickBot="1" x14ac:dyDescent="0.3">
      <c r="C64" s="446" t="s">
        <v>256</v>
      </c>
      <c r="D64" s="33"/>
      <c r="E64" s="34"/>
      <c r="F64" s="34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4"/>
      <c r="U64" s="34"/>
      <c r="V64" s="33"/>
      <c r="W64" s="33"/>
      <c r="X64" s="33"/>
      <c r="Y64" s="33"/>
      <c r="Z64" s="33"/>
      <c r="AA64" s="444"/>
      <c r="AB64" s="447"/>
      <c r="AC64" s="447"/>
      <c r="AD64" s="447"/>
      <c r="AE64" s="447"/>
      <c r="AF64" s="447"/>
      <c r="AG64" s="447"/>
      <c r="AH64" s="33"/>
      <c r="AI64" s="34"/>
      <c r="AJ64" s="34"/>
      <c r="AK64" s="448"/>
      <c r="AM64" s="208"/>
      <c r="AN64" s="97" t="str">
        <f>C72</f>
        <v>R-WH_Apt_ELC_N1</v>
      </c>
      <c r="AO64" s="97" t="str">
        <f>D72</f>
        <v xml:space="preserve">Residential Electric Water Heater </v>
      </c>
      <c r="AP64" s="98" t="s">
        <v>13</v>
      </c>
      <c r="AQ64" s="116" t="s">
        <v>119</v>
      </c>
      <c r="AR64" s="100" t="s">
        <v>684</v>
      </c>
      <c r="AS64" s="98"/>
      <c r="AT64" s="98" t="s">
        <v>75</v>
      </c>
    </row>
    <row r="65" spans="3:46" ht="15.75" thickBot="1" x14ac:dyDescent="0.3">
      <c r="C65" s="510" t="str">
        <f>"R-SW_Apt"&amp;"_"&amp;RIGHT(E65,3)&amp;"_HPN1"</f>
        <v>R-SW_Apt_GAS_HPN1</v>
      </c>
      <c r="D65" s="513" t="s">
        <v>111</v>
      </c>
      <c r="E65" s="511" t="s">
        <v>599</v>
      </c>
      <c r="F65" s="511" t="s">
        <v>565</v>
      </c>
      <c r="G65" s="511" t="s">
        <v>613</v>
      </c>
      <c r="H65" s="510">
        <f>JRC_Data!AC28/0.81</f>
        <v>1.6666666666666667</v>
      </c>
      <c r="I65" s="513">
        <f>JRC_Data!AD28/0.81</f>
        <v>1.7901234567901232</v>
      </c>
      <c r="J65" s="513">
        <f>JRC_Data!AE28/0.81</f>
        <v>2.0987654320987654</v>
      </c>
      <c r="K65" s="560">
        <f>JRC_Data!AF28/0.81</f>
        <v>2.0987654320987654</v>
      </c>
      <c r="L65" s="510"/>
      <c r="M65" s="513"/>
      <c r="N65" s="513"/>
      <c r="O65" s="560"/>
      <c r="P65" s="510">
        <f>H65*0.7</f>
        <v>1.1666666666666667</v>
      </c>
      <c r="Q65" s="513">
        <f t="shared" ref="Q65:S65" si="57">I65*0.7</f>
        <v>1.2530864197530862</v>
      </c>
      <c r="R65" s="513">
        <f t="shared" si="57"/>
        <v>1.4691358024691357</v>
      </c>
      <c r="S65" s="560">
        <f t="shared" si="57"/>
        <v>1.4691358024691357</v>
      </c>
      <c r="T65" s="538">
        <v>20</v>
      </c>
      <c r="U65" s="513"/>
      <c r="V65" s="510">
        <f>(JRC_Data!BB28/1000)*($U$287/$U$290)</f>
        <v>14.395366795366796</v>
      </c>
      <c r="W65" s="513">
        <f>(JRC_Data!BC28/1000)*($U$287/$U$290)</f>
        <v>13.472586872586874</v>
      </c>
      <c r="X65" s="513">
        <f>(JRC_Data!BD28/1000)*($U$287/$U$290)</f>
        <v>11.627027027027028</v>
      </c>
      <c r="Y65" s="513">
        <f>(JRC_Data!BE28/1000)*($U$287/$U$290)</f>
        <v>11.627027027027028</v>
      </c>
      <c r="Z65" s="560">
        <f>JRC_Data!BL28/1000</f>
        <v>0.23499999999999999</v>
      </c>
      <c r="AA65" s="511"/>
      <c r="AB65" s="539"/>
      <c r="AC65" s="539"/>
      <c r="AD65" s="539"/>
      <c r="AE65" s="539"/>
      <c r="AF65" s="539">
        <v>0.01</v>
      </c>
      <c r="AG65" s="539"/>
      <c r="AH65" s="510">
        <f t="shared" ref="AH65:AH66" si="58">31.536*(AK65/1000)</f>
        <v>0.56764799999999993</v>
      </c>
      <c r="AI65" s="511"/>
      <c r="AJ65" s="511">
        <v>2019</v>
      </c>
      <c r="AK65" s="540">
        <v>18</v>
      </c>
      <c r="AM65" s="106"/>
      <c r="AN65" s="106" t="str">
        <f>C73</f>
        <v>R-WH_Apt_SOL_N1</v>
      </c>
      <c r="AO65" s="106" t="str">
        <f>D73</f>
        <v xml:space="preserve">Residential Solar Water Heater </v>
      </c>
      <c r="AP65" s="100" t="s">
        <v>13</v>
      </c>
      <c r="AQ65" s="116" t="s">
        <v>119</v>
      </c>
      <c r="AR65" s="100"/>
      <c r="AS65" s="100"/>
      <c r="AT65" s="100" t="s">
        <v>75</v>
      </c>
    </row>
    <row r="66" spans="3:46" ht="15.75" thickBot="1" x14ac:dyDescent="0.3">
      <c r="C66" s="523" t="str">
        <f>"R-SW_Apt"&amp;"_"&amp;RIGHT(E66,3)&amp;"_HPN2"</f>
        <v>R-SW_Apt_GAS_HPN2</v>
      </c>
      <c r="D66" s="524" t="s">
        <v>112</v>
      </c>
      <c r="E66" s="524" t="s">
        <v>599</v>
      </c>
      <c r="F66" s="524" t="s">
        <v>565</v>
      </c>
      <c r="G66" s="524" t="s">
        <v>613</v>
      </c>
      <c r="H66" s="523">
        <f>JRC_Data!AC30/0.9</f>
        <v>1.6666666666666665</v>
      </c>
      <c r="I66" s="526">
        <f>JRC_Data!AD30/0.9</f>
        <v>1.7222222222222223</v>
      </c>
      <c r="J66" s="526">
        <f>JRC_Data!AE30/0.9</f>
        <v>1.7222222222222223</v>
      </c>
      <c r="K66" s="561">
        <f>JRC_Data!AF30/0.9</f>
        <v>1.7777777777777779</v>
      </c>
      <c r="L66" s="523"/>
      <c r="M66" s="526"/>
      <c r="N66" s="526"/>
      <c r="O66" s="561"/>
      <c r="P66" s="523">
        <f>H66*0.7</f>
        <v>1.1666666666666665</v>
      </c>
      <c r="Q66" s="526">
        <f t="shared" ref="Q66" si="59">I66*0.7</f>
        <v>1.2055555555555555</v>
      </c>
      <c r="R66" s="526">
        <f t="shared" ref="R66" si="60">J66*0.7</f>
        <v>1.2055555555555555</v>
      </c>
      <c r="S66" s="561">
        <f t="shared" ref="S66" si="61">K66*0.7</f>
        <v>1.2444444444444445</v>
      </c>
      <c r="T66" s="541">
        <v>15</v>
      </c>
      <c r="U66" s="526"/>
      <c r="V66" s="523">
        <f>(JRC_Data!BB30/1000)*($U$287/$U$290)</f>
        <v>43.832046332046332</v>
      </c>
      <c r="W66" s="526">
        <f>(JRC_Data!BC30/1000)*($U$287/$U$290)</f>
        <v>43.832046332046332</v>
      </c>
      <c r="X66" s="526">
        <f>(JRC_Data!BD30/1000)*($U$287/$U$290)</f>
        <v>43.832046332046332</v>
      </c>
      <c r="Y66" s="526">
        <f>(JRC_Data!BE30/1000)*($U$287/$U$290)</f>
        <v>43.832046332046332</v>
      </c>
      <c r="Z66" s="561">
        <f>JRC_Data!BL30/1000</f>
        <v>0.23499999999999999</v>
      </c>
      <c r="AA66" s="524"/>
      <c r="AB66" s="542"/>
      <c r="AC66" s="542"/>
      <c r="AD66" s="542"/>
      <c r="AE66" s="542"/>
      <c r="AF66" s="542">
        <v>0.01</v>
      </c>
      <c r="AG66" s="542"/>
      <c r="AH66" s="523">
        <f t="shared" si="58"/>
        <v>0.56764799999999993</v>
      </c>
      <c r="AI66" s="524"/>
      <c r="AJ66" s="524">
        <v>2019</v>
      </c>
      <c r="AK66" s="543">
        <v>18</v>
      </c>
      <c r="AM66" s="2"/>
      <c r="AN66" s="99" t="str">
        <f>C75</f>
        <v>R-SC_Apt_ELC_N1</v>
      </c>
      <c r="AO66" s="99" t="str">
        <f>D75</f>
        <v>Room Residential Electric Air Conditioning</v>
      </c>
      <c r="AP66" s="98" t="s">
        <v>13</v>
      </c>
      <c r="AQ66" s="118" t="s">
        <v>119</v>
      </c>
      <c r="AR66" s="100" t="s">
        <v>684</v>
      </c>
      <c r="AS66" s="98"/>
      <c r="AT66" s="98" t="s">
        <v>75</v>
      </c>
    </row>
    <row r="67" spans="3:46" ht="15" x14ac:dyDescent="0.25">
      <c r="C67" s="446" t="s">
        <v>257</v>
      </c>
      <c r="D67" s="33"/>
      <c r="E67" s="34"/>
      <c r="F67" s="34"/>
      <c r="G67" s="34"/>
      <c r="H67" s="34"/>
      <c r="I67" s="34"/>
      <c r="J67" s="34"/>
      <c r="K67" s="34"/>
      <c r="L67" s="34"/>
      <c r="M67" s="35"/>
      <c r="N67" s="35"/>
      <c r="O67" s="35"/>
      <c r="P67" s="35"/>
      <c r="Q67" s="35"/>
      <c r="R67" s="35"/>
      <c r="S67" s="35"/>
      <c r="T67" s="34"/>
      <c r="U67" s="34"/>
      <c r="V67" s="33"/>
      <c r="W67" s="33"/>
      <c r="X67" s="33"/>
      <c r="Y67" s="33"/>
      <c r="Z67" s="33"/>
      <c r="AA67" s="34"/>
      <c r="AB67" s="447"/>
      <c r="AC67" s="447"/>
      <c r="AD67" s="447"/>
      <c r="AE67" s="447"/>
      <c r="AF67" s="447"/>
      <c r="AG67" s="447"/>
      <c r="AH67" s="33"/>
      <c r="AI67" s="34"/>
      <c r="AJ67" s="34"/>
      <c r="AK67" s="448"/>
      <c r="AN67" s="99" t="str">
        <f>C76</f>
        <v>R-SC_Apt_ELC_N2</v>
      </c>
      <c r="AO67" s="99" t="str">
        <f>D76</f>
        <v>Centralized Residential Electric Air Conditioning</v>
      </c>
      <c r="AP67" s="100" t="s">
        <v>13</v>
      </c>
      <c r="AQ67" s="116" t="s">
        <v>119</v>
      </c>
      <c r="AR67" s="100" t="s">
        <v>684</v>
      </c>
      <c r="AS67" s="100"/>
      <c r="AT67" s="100" t="s">
        <v>75</v>
      </c>
    </row>
    <row r="68" spans="3:46" x14ac:dyDescent="0.2">
      <c r="C68" s="92" t="str">
        <f>"R-SW_Apt"&amp;"_"&amp;RIGHT(E68,3)&amp;"_HHPN1"</f>
        <v>R-SW_Apt_GAS_HHPN1</v>
      </c>
      <c r="D68" s="79" t="s">
        <v>118</v>
      </c>
      <c r="E68" s="114" t="s">
        <v>600</v>
      </c>
      <c r="F68" s="114" t="s">
        <v>565</v>
      </c>
      <c r="G68" s="94" t="s">
        <v>613</v>
      </c>
      <c r="H68" s="349">
        <f>1*$AD$68+JRC_Data!AD18*(1.3-$AD$68)</f>
        <v>3.4850000000000003</v>
      </c>
      <c r="I68" s="349">
        <f>1*$AD$68+JRC_Data!AE18*(1.3-$AD$68)</f>
        <v>3.8650000000000007</v>
      </c>
      <c r="J68" s="349">
        <f>1*$AD$68+JRC_Data!AF18*(1.3-$AD$68)</f>
        <v>4.1500000000000004</v>
      </c>
      <c r="K68" s="349">
        <f>1*$AD$68+JRC_Data!AG18*(1.3-$AD$68)</f>
        <v>4.1500000000000004</v>
      </c>
      <c r="L68" s="49"/>
      <c r="M68" s="50"/>
      <c r="N68" s="50"/>
      <c r="O68" s="51"/>
      <c r="P68" s="226">
        <f>H68*0.7</f>
        <v>2.4395000000000002</v>
      </c>
      <c r="Q68" s="26">
        <f>I68*0.7</f>
        <v>2.7055000000000002</v>
      </c>
      <c r="R68" s="26">
        <f t="shared" ref="R68:S68" si="62">J68*0.7</f>
        <v>2.9050000000000002</v>
      </c>
      <c r="S68" s="59">
        <f t="shared" si="62"/>
        <v>2.9050000000000002</v>
      </c>
      <c r="T68" s="230">
        <v>20</v>
      </c>
      <c r="U68" s="231"/>
      <c r="V68" s="78">
        <f>(V31+V10)*0.8</f>
        <v>10.748613220815754</v>
      </c>
      <c r="W68" s="78">
        <f>(W31+W10)*0.8</f>
        <v>10.748613220815754</v>
      </c>
      <c r="X68" s="78">
        <f>(X31+X10)*0.8</f>
        <v>9.8988354430379744</v>
      </c>
      <c r="Y68" s="78">
        <f>(Y31+Y10)*0.8</f>
        <v>9.8988354430379744</v>
      </c>
      <c r="Z68" s="235">
        <f>(JRC_Data!BL9+JRC_Data!BL18)*0.8/1000</f>
        <v>0.308</v>
      </c>
      <c r="AA68" s="82"/>
      <c r="AB68" s="83"/>
      <c r="AC68" s="83"/>
      <c r="AD68" s="83">
        <v>0.35</v>
      </c>
      <c r="AE68" s="72">
        <f>AD68</f>
        <v>0.35</v>
      </c>
      <c r="AF68" s="72">
        <v>0.01</v>
      </c>
      <c r="AG68" s="66">
        <v>5</v>
      </c>
      <c r="AH68" s="81">
        <f>31.536*(AK68/1000)</f>
        <v>0.56764799999999993</v>
      </c>
      <c r="AI68" s="82"/>
      <c r="AJ68" s="82">
        <v>2019</v>
      </c>
      <c r="AK68" s="82">
        <f>AK10*AD68+AK31*(1-AD68)</f>
        <v>18</v>
      </c>
    </row>
    <row r="69" spans="3:46" x14ac:dyDescent="0.2">
      <c r="C69" s="446" t="s">
        <v>258</v>
      </c>
      <c r="D69" s="33"/>
      <c r="E69" s="34"/>
      <c r="F69" s="34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4"/>
      <c r="U69" s="34"/>
      <c r="V69" s="33" t="s">
        <v>503</v>
      </c>
      <c r="W69" s="33"/>
      <c r="X69" s="33"/>
      <c r="Y69" s="33"/>
      <c r="Z69" s="33"/>
      <c r="AA69" s="34"/>
      <c r="AB69" s="447"/>
      <c r="AC69" s="447"/>
      <c r="AD69" s="447"/>
      <c r="AE69" s="447"/>
      <c r="AF69" s="447"/>
      <c r="AG69" s="447"/>
      <c r="AH69" s="33"/>
      <c r="AI69" s="34"/>
      <c r="AJ69" s="34"/>
      <c r="AK69" s="448"/>
    </row>
    <row r="70" spans="3:46" ht="21.75" customHeight="1" x14ac:dyDescent="0.2">
      <c r="C70" s="19" t="str">
        <f>"R-SW_"&amp;RIGHT(E70,3)&amp;"_HET_N1"</f>
        <v>R-SW_Apt_HET_N1</v>
      </c>
      <c r="D70" s="20" t="s">
        <v>707</v>
      </c>
      <c r="E70" s="88" t="s">
        <v>687</v>
      </c>
      <c r="F70" s="88"/>
      <c r="G70" s="21" t="s">
        <v>613</v>
      </c>
      <c r="H70" s="220">
        <v>1</v>
      </c>
      <c r="I70" s="221">
        <v>1</v>
      </c>
      <c r="J70" s="221">
        <v>1</v>
      </c>
      <c r="K70" s="222">
        <v>1</v>
      </c>
      <c r="L70" s="46"/>
      <c r="M70" s="47"/>
      <c r="N70" s="47"/>
      <c r="O70" s="48"/>
      <c r="P70" s="220">
        <v>0.7</v>
      </c>
      <c r="Q70" s="221">
        <v>0.7</v>
      </c>
      <c r="R70" s="221">
        <v>0.7</v>
      </c>
      <c r="S70" s="222">
        <v>0.7</v>
      </c>
      <c r="T70" s="52">
        <v>20</v>
      </c>
      <c r="U70" s="48"/>
      <c r="V70" s="19">
        <f>((40*$AK$70)/1000)*(JRC_Data!BB62/JRC_Data!$BB$62)</f>
        <v>0.72</v>
      </c>
      <c r="W70" s="19">
        <f>((40*$AK$70)/1000)*(JRC_Data!BC62/JRC_Data!$BB$62)</f>
        <v>0.72</v>
      </c>
      <c r="X70" s="19">
        <f>((40*$AK$70)/1000)*(JRC_Data!BD62/JRC_Data!$BB$62)</f>
        <v>0.72</v>
      </c>
      <c r="Y70" s="19">
        <f>((40*$AK$70)/1000)*(JRC_Data!BE62/JRC_Data!$BB$62)</f>
        <v>0.72</v>
      </c>
      <c r="Z70" s="84">
        <f>JRC_Data!BL62/1000</f>
        <v>0.15</v>
      </c>
      <c r="AA70" s="84"/>
      <c r="AB70" s="84"/>
      <c r="AC70" s="84"/>
      <c r="AD70" s="84"/>
      <c r="AE70" s="84"/>
      <c r="AF70" s="84"/>
      <c r="AG70" s="84"/>
      <c r="AH70" s="84">
        <f t="shared" ref="AH70" si="63">31.536*(AK70/1000)</f>
        <v>0.56764799999999993</v>
      </c>
      <c r="AI70" s="87"/>
      <c r="AJ70" s="87">
        <v>2019</v>
      </c>
      <c r="AK70" s="87">
        <v>18</v>
      </c>
    </row>
    <row r="71" spans="3:46" ht="16.5" customHeight="1" x14ac:dyDescent="0.2">
      <c r="C71" s="446" t="s">
        <v>259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34"/>
      <c r="AB71" s="447"/>
      <c r="AC71" s="447"/>
      <c r="AD71" s="447"/>
      <c r="AE71" s="447"/>
      <c r="AF71" s="447"/>
      <c r="AG71" s="447"/>
      <c r="AH71" s="33"/>
      <c r="AI71" s="34"/>
      <c r="AJ71" s="34"/>
      <c r="AK71" s="448"/>
      <c r="AM71" s="4" t="s">
        <v>548</v>
      </c>
      <c r="AN71" s="4"/>
      <c r="AO71" s="4"/>
      <c r="AP71" s="4"/>
      <c r="AQ71" s="4"/>
      <c r="AR71" s="4"/>
      <c r="AS71" s="4"/>
      <c r="AT71" s="4"/>
    </row>
    <row r="72" spans="3:46" ht="15.75" thickBot="1" x14ac:dyDescent="0.25">
      <c r="C72" s="40" t="str">
        <f>"R-WH_Apt"&amp;"_"&amp;RIGHT(E72,3)&amp;"_N1"</f>
        <v>R-WH_Apt_ELC_N1</v>
      </c>
      <c r="D72" s="20" t="s">
        <v>115</v>
      </c>
      <c r="E72" s="88" t="s">
        <v>144</v>
      </c>
      <c r="F72" s="88"/>
      <c r="G72" s="20" t="s">
        <v>126</v>
      </c>
      <c r="H72" s="46"/>
      <c r="I72" s="47"/>
      <c r="J72" s="47"/>
      <c r="K72" s="48"/>
      <c r="L72" s="46"/>
      <c r="M72" s="47"/>
      <c r="N72" s="47"/>
      <c r="O72" s="48"/>
      <c r="P72" s="220">
        <v>0.7</v>
      </c>
      <c r="Q72" s="221">
        <v>0.7</v>
      </c>
      <c r="R72" s="221">
        <v>0.7</v>
      </c>
      <c r="S72" s="222">
        <v>0.7</v>
      </c>
      <c r="T72" s="52">
        <v>15</v>
      </c>
      <c r="U72" s="48"/>
      <c r="V72" s="20">
        <f>(JRC_Data!BB48/1000)*($U$282/$U$283)*0.5</f>
        <v>1.8439434281959959</v>
      </c>
      <c r="W72" s="20">
        <f>(JRC_Data!BC48/1000)*($U$282/$U$283)*0.5</f>
        <v>1.8439434281959959</v>
      </c>
      <c r="X72" s="20">
        <f>(JRC_Data!BD48/1000)*($U$282/$U$283)*0.5</f>
        <v>1.8439434281959959</v>
      </c>
      <c r="Y72" s="20">
        <f>(JRC_Data!BE48/1000)*($U$282/$U$283)*0.5</f>
        <v>1.8439434281959959</v>
      </c>
      <c r="Z72" s="84">
        <f>JRC_Data!BL48/1000</f>
        <v>0.05</v>
      </c>
      <c r="AA72" s="84"/>
      <c r="AB72" s="84"/>
      <c r="AC72" s="84"/>
      <c r="AD72" s="84"/>
      <c r="AE72" s="84"/>
      <c r="AF72" s="84"/>
      <c r="AG72" s="84"/>
      <c r="AH72" s="84">
        <f t="shared" ref="AH72:AH73" si="64">31.536*(AK72/1000)</f>
        <v>9.4608000000000012E-2</v>
      </c>
      <c r="AI72" s="87"/>
      <c r="AJ72" s="87">
        <v>2019</v>
      </c>
      <c r="AK72" s="87">
        <v>3</v>
      </c>
      <c r="AM72" s="121" t="s">
        <v>549</v>
      </c>
      <c r="AN72" s="121" t="s">
        <v>550</v>
      </c>
      <c r="AO72" s="121" t="s">
        <v>551</v>
      </c>
      <c r="AP72" s="121" t="s">
        <v>552</v>
      </c>
      <c r="AQ72" s="121" t="s">
        <v>553</v>
      </c>
      <c r="AR72" s="121" t="s">
        <v>554</v>
      </c>
      <c r="AS72" s="121" t="s">
        <v>555</v>
      </c>
      <c r="AT72" s="121" t="s">
        <v>556</v>
      </c>
    </row>
    <row r="73" spans="3:46" ht="48.75" thickBot="1" x14ac:dyDescent="0.25">
      <c r="C73" s="22" t="str">
        <f>"R-WH_Apt"&amp;"_"&amp;RIGHT(E73,3)&amp;"_N1"</f>
        <v>R-WH_Apt_SOL_N1</v>
      </c>
      <c r="D73" s="23" t="s">
        <v>116</v>
      </c>
      <c r="E73" s="24" t="s">
        <v>250</v>
      </c>
      <c r="F73" s="24"/>
      <c r="G73" s="23" t="s">
        <v>696</v>
      </c>
      <c r="H73" s="44"/>
      <c r="I73" s="32"/>
      <c r="J73" s="32"/>
      <c r="K73" s="45"/>
      <c r="L73" s="44"/>
      <c r="M73" s="32"/>
      <c r="N73" s="32"/>
      <c r="O73" s="45"/>
      <c r="P73" s="217">
        <v>1</v>
      </c>
      <c r="Q73" s="218">
        <v>1</v>
      </c>
      <c r="R73" s="218">
        <v>1</v>
      </c>
      <c r="S73" s="219">
        <v>1</v>
      </c>
      <c r="T73" s="53">
        <v>25</v>
      </c>
      <c r="U73" s="57">
        <v>30</v>
      </c>
      <c r="V73" s="23">
        <f>(JRC_Data!BB45/1000)*($U$282/$U$283)*0.5</f>
        <v>2.4893236280645947</v>
      </c>
      <c r="W73" s="23">
        <f>(JRC_Data!BC45/1000)*($U$282/$U$283)*0.5</f>
        <v>2.3510278709498946</v>
      </c>
      <c r="X73" s="23">
        <f>(JRC_Data!BD45/1000)*($U$282/$U$283)*0.5</f>
        <v>2.1205349424253952</v>
      </c>
      <c r="Y73" s="23">
        <f>(JRC_Data!BE45/1000)*($U$282/$U$283)*0.5</f>
        <v>1.7056476710812962</v>
      </c>
      <c r="Z73" s="84">
        <f>JRC_Data!BL45/1000</f>
        <v>6.2E-2</v>
      </c>
      <c r="AA73" s="63"/>
      <c r="AB73" s="63"/>
      <c r="AC73" s="63"/>
      <c r="AD73" s="63"/>
      <c r="AE73" s="63"/>
      <c r="AF73" s="63"/>
      <c r="AG73" s="63"/>
      <c r="AH73" s="63">
        <f t="shared" si="64"/>
        <v>9.4608000000000012E-2</v>
      </c>
      <c r="AI73" s="66"/>
      <c r="AJ73" s="66">
        <v>2019</v>
      </c>
      <c r="AK73" s="66">
        <v>3</v>
      </c>
      <c r="AM73" s="411" t="s">
        <v>557</v>
      </c>
      <c r="AN73" s="411" t="s">
        <v>558</v>
      </c>
      <c r="AO73" s="411" t="s">
        <v>559</v>
      </c>
      <c r="AP73" s="412" t="s">
        <v>552</v>
      </c>
      <c r="AQ73" s="412" t="s">
        <v>560</v>
      </c>
      <c r="AR73" s="412" t="s">
        <v>561</v>
      </c>
      <c r="AS73" s="412" t="s">
        <v>562</v>
      </c>
      <c r="AT73" s="412" t="s">
        <v>563</v>
      </c>
    </row>
    <row r="74" spans="3:46" x14ac:dyDescent="0.2">
      <c r="C74" s="446" t="s">
        <v>260</v>
      </c>
      <c r="D74" s="33"/>
      <c r="E74" s="34"/>
      <c r="F74" s="34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4"/>
      <c r="U74" s="34"/>
      <c r="V74" s="33"/>
      <c r="W74" s="33"/>
      <c r="X74" s="33"/>
      <c r="Y74" s="33"/>
      <c r="Z74" s="33"/>
      <c r="AA74" s="34"/>
      <c r="AB74" s="447"/>
      <c r="AC74" s="447"/>
      <c r="AD74" s="447"/>
      <c r="AE74" s="447"/>
      <c r="AF74" s="447"/>
      <c r="AG74" s="447"/>
      <c r="AH74" s="33"/>
      <c r="AI74" s="34"/>
      <c r="AJ74" s="34"/>
      <c r="AK74" s="448"/>
      <c r="AM74" s="413" t="str">
        <f>AK79&amp;"NRG"</f>
        <v>NRG</v>
      </c>
      <c r="AN74" s="413" t="s">
        <v>564</v>
      </c>
      <c r="AO74" s="413" t="s">
        <v>641</v>
      </c>
      <c r="AP74" s="414" t="s">
        <v>13</v>
      </c>
      <c r="AQ74" s="413" t="s">
        <v>434</v>
      </c>
      <c r="AR74" s="413"/>
      <c r="AS74" s="413" t="s">
        <v>434</v>
      </c>
      <c r="AT74" s="413" t="s">
        <v>434</v>
      </c>
    </row>
    <row r="75" spans="3:46" x14ac:dyDescent="0.2">
      <c r="C75" s="19" t="str">
        <f>"R-SC_Apt"&amp;"_"&amp;RIGHT(E75,3)&amp;"_N1"</f>
        <v>R-SC_Apt_ELC_N1</v>
      </c>
      <c r="D75" s="20" t="s">
        <v>505</v>
      </c>
      <c r="E75" s="88" t="s">
        <v>144</v>
      </c>
      <c r="F75" s="88"/>
      <c r="G75" s="21" t="s">
        <v>125</v>
      </c>
      <c r="H75" s="220"/>
      <c r="I75" s="221"/>
      <c r="J75" s="221"/>
      <c r="K75" s="222"/>
      <c r="L75" s="19">
        <v>1</v>
      </c>
      <c r="M75" s="20">
        <f>JRC_Data!AD16/JRC_Data!$AC$16</f>
        <v>1.0666666666666667</v>
      </c>
      <c r="N75" s="20">
        <f>JRC_Data!AE16/JRC_Data!$AC$16</f>
        <v>1.2333333333333334</v>
      </c>
      <c r="O75" s="56">
        <f>JRC_Data!AF16/JRC_Data!$AC$16</f>
        <v>1.3333333333333333</v>
      </c>
      <c r="P75" s="220"/>
      <c r="Q75" s="221"/>
      <c r="R75" s="221"/>
      <c r="S75" s="222"/>
      <c r="T75" s="52">
        <v>20</v>
      </c>
      <c r="U75" s="48"/>
      <c r="V75" s="19">
        <f>(JRC_Data!BB16/1000)*($U$283/$U$289)</f>
        <v>1.8396671215443359</v>
      </c>
      <c r="W75" s="19">
        <f>(JRC_Data!BC16/1000)*($U$283/$U$289)</f>
        <v>1.756045888746866</v>
      </c>
      <c r="X75" s="19">
        <f>(JRC_Data!BD16/1000)*($U$283/$U$289)</f>
        <v>1.5888034231519261</v>
      </c>
      <c r="Y75" s="19">
        <f>(JRC_Data!BE16/1000)*($U$283/$U$289)</f>
        <v>1.5051821903544564</v>
      </c>
      <c r="Z75" s="84">
        <f>JRC_Data!BL16/1000</f>
        <v>3.4000000000000002E-2</v>
      </c>
      <c r="AA75" s="84"/>
      <c r="AB75" s="84"/>
      <c r="AC75" s="84"/>
      <c r="AD75" s="84"/>
      <c r="AE75" s="84"/>
      <c r="AF75" s="84"/>
      <c r="AG75" s="84"/>
      <c r="AH75" s="84">
        <f t="shared" ref="AH75:AH76" si="65">31.536*(AK75/1000)</f>
        <v>9.4608000000000012E-2</v>
      </c>
      <c r="AI75" s="87"/>
      <c r="AJ75" s="87">
        <v>2100</v>
      </c>
      <c r="AK75" s="87">
        <v>3</v>
      </c>
      <c r="AM75" s="413" t="str">
        <f>AK79&amp;"NRG"</f>
        <v>NRG</v>
      </c>
      <c r="AN75" s="413" t="s">
        <v>794</v>
      </c>
      <c r="AO75" s="413" t="s">
        <v>795</v>
      </c>
      <c r="AP75" s="414" t="s">
        <v>13</v>
      </c>
      <c r="AQ75" s="413"/>
      <c r="AR75" s="413"/>
      <c r="AS75" s="413"/>
      <c r="AT75" s="413"/>
    </row>
    <row r="76" spans="3:46" x14ac:dyDescent="0.2">
      <c r="C76" s="226" t="str">
        <f>"R-SC_Apt"&amp;"_"&amp;RIGHT(E76,3)&amp;"_N2"</f>
        <v>R-SC_Apt_ELC_N2</v>
      </c>
      <c r="D76" s="26" t="s">
        <v>506</v>
      </c>
      <c r="E76" s="27" t="s">
        <v>144</v>
      </c>
      <c r="F76" s="27"/>
      <c r="G76" s="28" t="s">
        <v>125</v>
      </c>
      <c r="H76" s="227"/>
      <c r="I76" s="228"/>
      <c r="J76" s="228"/>
      <c r="K76" s="229"/>
      <c r="L76" s="226">
        <v>1</v>
      </c>
      <c r="M76" s="26">
        <f>JRC_Data!AI26/JRC_Data!$AH$26</f>
        <v>1.0333333333333334</v>
      </c>
      <c r="N76" s="26">
        <f>JRC_Data!AJ26/JRC_Data!$AH$26</f>
        <v>1.1333333333333333</v>
      </c>
      <c r="O76" s="59">
        <f>JRC_Data!AK26/JRC_Data!$AH$26</f>
        <v>1.1666666666666667</v>
      </c>
      <c r="P76" s="227"/>
      <c r="Q76" s="228"/>
      <c r="R76" s="228"/>
      <c r="S76" s="229"/>
      <c r="T76" s="55">
        <v>20</v>
      </c>
      <c r="U76" s="51"/>
      <c r="V76" s="226">
        <f>(JRC_Data!BB26/1000)</f>
        <v>1.875</v>
      </c>
      <c r="W76" s="226">
        <f>(JRC_Data!BC26/1000)</f>
        <v>1.78125</v>
      </c>
      <c r="X76" s="226">
        <f>(JRC_Data!BD26/1000)</f>
        <v>1.59375</v>
      </c>
      <c r="Y76" s="226">
        <f>(JRC_Data!BE26/1000)</f>
        <v>1.5</v>
      </c>
      <c r="Z76" s="64">
        <f>JRC_Data!BL26/1000</f>
        <v>0.29443999999999998</v>
      </c>
      <c r="AA76" s="64"/>
      <c r="AB76" s="64"/>
      <c r="AC76" s="64"/>
      <c r="AD76" s="64"/>
      <c r="AE76" s="64"/>
      <c r="AF76" s="64"/>
      <c r="AG76" s="64"/>
      <c r="AH76" s="64">
        <f t="shared" si="65"/>
        <v>9.4608000000000012E-2</v>
      </c>
      <c r="AI76" s="67"/>
      <c r="AJ76" s="67">
        <v>2100</v>
      </c>
      <c r="AK76" s="67">
        <v>3</v>
      </c>
      <c r="AM76" s="413"/>
      <c r="AN76" s="413"/>
      <c r="AO76" s="413"/>
      <c r="AP76" s="414"/>
      <c r="AQ76" s="413"/>
      <c r="AR76" s="413"/>
      <c r="AS76" s="413"/>
      <c r="AT76" s="413"/>
    </row>
    <row r="77" spans="3:46" x14ac:dyDescent="0.2">
      <c r="AM77" s="413"/>
      <c r="AN77" s="413"/>
      <c r="AO77" s="413"/>
      <c r="AP77" s="414"/>
      <c r="AQ77" s="413"/>
      <c r="AR77" s="413"/>
      <c r="AS77" s="413"/>
      <c r="AT77" s="413"/>
    </row>
    <row r="78" spans="3:46" x14ac:dyDescent="0.2">
      <c r="AM78" s="413"/>
      <c r="AN78" s="413"/>
      <c r="AO78" s="413"/>
      <c r="AP78" s="414"/>
      <c r="AQ78" s="413"/>
      <c r="AR78" s="413"/>
      <c r="AS78" s="413"/>
      <c r="AT78" s="413"/>
    </row>
    <row r="79" spans="3:46" x14ac:dyDescent="0.2">
      <c r="H79" s="5" t="s">
        <v>19</v>
      </c>
      <c r="AM79" s="413"/>
      <c r="AN79" s="413"/>
      <c r="AO79" s="413"/>
      <c r="AP79" s="414"/>
      <c r="AQ79" s="413"/>
      <c r="AR79" s="413"/>
      <c r="AS79" s="413"/>
      <c r="AT79" s="413"/>
    </row>
    <row r="80" spans="3:46" ht="45.75" thickBot="1" x14ac:dyDescent="0.25">
      <c r="C80" s="14" t="s">
        <v>21</v>
      </c>
      <c r="D80" s="15" t="s">
        <v>32</v>
      </c>
      <c r="E80" s="14" t="s">
        <v>23</v>
      </c>
      <c r="F80" s="14" t="s">
        <v>537</v>
      </c>
      <c r="G80" s="14" t="s">
        <v>24</v>
      </c>
      <c r="H80" s="17" t="s">
        <v>790</v>
      </c>
      <c r="I80" s="17" t="s">
        <v>791</v>
      </c>
      <c r="J80" s="17" t="s">
        <v>792</v>
      </c>
      <c r="K80" s="17" t="s">
        <v>793</v>
      </c>
      <c r="L80" s="17" t="s">
        <v>221</v>
      </c>
      <c r="M80" s="17" t="s">
        <v>222</v>
      </c>
      <c r="N80" s="17" t="s">
        <v>223</v>
      </c>
      <c r="O80" s="17" t="s">
        <v>224</v>
      </c>
      <c r="P80" s="17" t="s">
        <v>225</v>
      </c>
      <c r="Q80" s="17" t="s">
        <v>226</v>
      </c>
      <c r="R80" s="17" t="s">
        <v>227</v>
      </c>
      <c r="S80" s="17" t="s">
        <v>228</v>
      </c>
      <c r="T80" s="18" t="s">
        <v>26</v>
      </c>
      <c r="U80" s="18" t="s">
        <v>76</v>
      </c>
      <c r="V80" s="17" t="s">
        <v>678</v>
      </c>
      <c r="W80" s="17" t="s">
        <v>88</v>
      </c>
      <c r="X80" s="17" t="s">
        <v>89</v>
      </c>
      <c r="Y80" s="17" t="s">
        <v>90</v>
      </c>
      <c r="Z80" s="17" t="s">
        <v>61</v>
      </c>
      <c r="AA80" s="17" t="s">
        <v>62</v>
      </c>
      <c r="AB80" s="17" t="s">
        <v>264</v>
      </c>
      <c r="AC80" s="17" t="s">
        <v>265</v>
      </c>
      <c r="AD80" s="17" t="s">
        <v>266</v>
      </c>
      <c r="AE80" s="17" t="s">
        <v>598</v>
      </c>
      <c r="AF80" s="17" t="s">
        <v>697</v>
      </c>
      <c r="AG80" s="17" t="s">
        <v>232</v>
      </c>
      <c r="AH80" s="17" t="s">
        <v>77</v>
      </c>
      <c r="AI80" s="17" t="s">
        <v>251</v>
      </c>
      <c r="AJ80" s="17" t="s">
        <v>78</v>
      </c>
      <c r="AK80" s="17" t="s">
        <v>535</v>
      </c>
      <c r="AM80" s="413"/>
      <c r="AN80" s="413"/>
      <c r="AO80" s="413"/>
      <c r="AP80" s="414"/>
      <c r="AQ80" s="413"/>
      <c r="AR80" s="413"/>
      <c r="AS80" s="413"/>
      <c r="AT80" s="413"/>
    </row>
    <row r="81" spans="3:47" ht="38.25" x14ac:dyDescent="0.2">
      <c r="C81" s="16" t="s">
        <v>79</v>
      </c>
      <c r="D81" s="16" t="s">
        <v>33</v>
      </c>
      <c r="E81" s="16" t="s">
        <v>80</v>
      </c>
      <c r="F81" s="16" t="s">
        <v>538</v>
      </c>
      <c r="G81" s="16" t="s">
        <v>81</v>
      </c>
      <c r="H81" s="625" t="s">
        <v>82</v>
      </c>
      <c r="I81" s="626"/>
      <c r="J81" s="626"/>
      <c r="K81" s="627"/>
      <c r="L81" s="625" t="s">
        <v>83</v>
      </c>
      <c r="M81" s="626"/>
      <c r="N81" s="626"/>
      <c r="O81" s="627"/>
      <c r="P81" s="625" t="s">
        <v>84</v>
      </c>
      <c r="Q81" s="626"/>
      <c r="R81" s="626"/>
      <c r="S81" s="627"/>
      <c r="T81" s="625" t="s">
        <v>85</v>
      </c>
      <c r="U81" s="627"/>
      <c r="V81" s="619" t="s">
        <v>86</v>
      </c>
      <c r="W81" s="620"/>
      <c r="X81" s="620"/>
      <c r="Y81" s="621"/>
      <c r="Z81" s="60"/>
      <c r="AA81" s="60"/>
      <c r="AB81" s="68" t="s">
        <v>202</v>
      </c>
      <c r="AC81" s="70" t="s">
        <v>202</v>
      </c>
      <c r="AD81" s="70" t="s">
        <v>202</v>
      </c>
      <c r="AE81" s="70" t="s">
        <v>202</v>
      </c>
      <c r="AF81" s="70" t="s">
        <v>698</v>
      </c>
      <c r="AG81" s="70" t="s">
        <v>231</v>
      </c>
      <c r="AH81" s="60" t="s">
        <v>66</v>
      </c>
      <c r="AI81" s="60" t="s">
        <v>87</v>
      </c>
      <c r="AJ81" s="60"/>
      <c r="AK81" s="60"/>
      <c r="AM81" s="413"/>
      <c r="AN81" s="413"/>
      <c r="AO81" s="413"/>
      <c r="AP81" s="414"/>
      <c r="AQ81" s="413"/>
      <c r="AR81" s="413"/>
      <c r="AS81" s="413"/>
      <c r="AT81" s="413"/>
    </row>
    <row r="82" spans="3:47" ht="15.75" thickBot="1" x14ac:dyDescent="0.25">
      <c r="C82" s="14" t="s">
        <v>263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45"/>
      <c r="U82" s="345"/>
      <c r="V82" s="345"/>
      <c r="W82" s="345"/>
      <c r="X82" s="345"/>
      <c r="Y82" s="345"/>
      <c r="Z82" s="345"/>
      <c r="AA82" s="345"/>
      <c r="AB82" s="345"/>
      <c r="AC82" s="345"/>
      <c r="AD82" s="345"/>
      <c r="AE82" s="345"/>
      <c r="AF82" s="345"/>
      <c r="AG82" s="345"/>
      <c r="AH82" s="345"/>
      <c r="AI82" s="345"/>
      <c r="AJ82" s="345"/>
      <c r="AK82" s="345"/>
      <c r="AM82" s="413"/>
      <c r="AN82" s="413"/>
      <c r="AO82" s="413"/>
      <c r="AP82" s="414"/>
      <c r="AQ82" s="413"/>
      <c r="AR82" s="413"/>
      <c r="AS82" s="413"/>
      <c r="AT82" s="413"/>
    </row>
    <row r="83" spans="3:47" x14ac:dyDescent="0.2">
      <c r="C83" s="37" t="s">
        <v>253</v>
      </c>
      <c r="D83" s="38"/>
      <c r="E83" s="38"/>
      <c r="F83" s="38"/>
      <c r="G83" s="39"/>
      <c r="H83" s="622" t="s">
        <v>34</v>
      </c>
      <c r="I83" s="623"/>
      <c r="J83" s="623"/>
      <c r="K83" s="624"/>
      <c r="L83" s="623" t="s">
        <v>34</v>
      </c>
      <c r="M83" s="623"/>
      <c r="N83" s="623"/>
      <c r="O83" s="624"/>
      <c r="P83" s="622" t="s">
        <v>34</v>
      </c>
      <c r="Q83" s="623"/>
      <c r="R83" s="623"/>
      <c r="S83" s="624"/>
      <c r="T83" s="628" t="s">
        <v>68</v>
      </c>
      <c r="U83" s="629"/>
      <c r="V83" s="628" t="s">
        <v>487</v>
      </c>
      <c r="W83" s="630"/>
      <c r="X83" s="630"/>
      <c r="Y83" s="629"/>
      <c r="Z83" s="346" t="s">
        <v>498</v>
      </c>
      <c r="AA83" s="346" t="s">
        <v>93</v>
      </c>
      <c r="AB83" s="347" t="s">
        <v>34</v>
      </c>
      <c r="AC83" s="346" t="s">
        <v>34</v>
      </c>
      <c r="AD83" s="346" t="s">
        <v>34</v>
      </c>
      <c r="AE83" s="346"/>
      <c r="AF83" s="346"/>
      <c r="AG83" s="346"/>
      <c r="AH83" s="348" t="s">
        <v>267</v>
      </c>
      <c r="AI83" s="346" t="s">
        <v>34</v>
      </c>
      <c r="AJ83" s="346" t="s">
        <v>94</v>
      </c>
      <c r="AK83" s="346" t="s">
        <v>536</v>
      </c>
      <c r="AM83" s="413"/>
      <c r="AN83" s="413"/>
      <c r="AO83" s="413"/>
      <c r="AP83" s="414"/>
      <c r="AQ83" s="413"/>
      <c r="AR83" s="413"/>
      <c r="AS83" s="413"/>
      <c r="AT83" s="413"/>
    </row>
    <row r="84" spans="3:47" ht="15" x14ac:dyDescent="0.25">
      <c r="C84" s="19" t="str">
        <f>"R-SH_Att"&amp;"_"&amp;RIGHT(E84,3)&amp;"_N1"</f>
        <v>R-SH_Att_KER_N1</v>
      </c>
      <c r="D84" s="20" t="s">
        <v>96</v>
      </c>
      <c r="E84" s="88" t="s">
        <v>243</v>
      </c>
      <c r="F84" s="88"/>
      <c r="G84" s="439" t="s">
        <v>619</v>
      </c>
      <c r="H84" s="40">
        <v>1.05</v>
      </c>
      <c r="I84" s="29">
        <v>1.1000000000000001</v>
      </c>
      <c r="J84" s="29">
        <v>1.1499999999999999</v>
      </c>
      <c r="K84" s="58">
        <v>1.2</v>
      </c>
      <c r="L84" s="46"/>
      <c r="M84" s="47"/>
      <c r="N84" s="47"/>
      <c r="O84" s="48"/>
      <c r="P84" s="19"/>
      <c r="Q84" s="20"/>
      <c r="R84" s="20"/>
      <c r="S84" s="56"/>
      <c r="T84" s="54">
        <v>20</v>
      </c>
      <c r="U84" s="41"/>
      <c r="V84" s="349">
        <f>V88*1.3</f>
        <v>4.2250000000000005</v>
      </c>
      <c r="W84" s="349">
        <f t="shared" ref="W84:Y84" si="66">W88*1.3</f>
        <v>4.2250000000000005</v>
      </c>
      <c r="X84" s="349">
        <f t="shared" si="66"/>
        <v>4.2250000000000005</v>
      </c>
      <c r="Y84" s="349">
        <f t="shared" si="66"/>
        <v>4.2250000000000005</v>
      </c>
      <c r="Z84" s="349">
        <v>0.12</v>
      </c>
      <c r="AA84" s="65"/>
      <c r="AB84" s="42"/>
      <c r="AC84" s="71"/>
      <c r="AD84" s="71"/>
      <c r="AE84" s="71"/>
      <c r="AF84" s="71"/>
      <c r="AG84" s="71"/>
      <c r="AH84" s="62">
        <f t="shared" ref="AH84:AH171" si="67">31.536*(AK84/1000)</f>
        <v>0.63072000000000006</v>
      </c>
      <c r="AI84" s="65"/>
      <c r="AJ84" s="65">
        <v>2019</v>
      </c>
      <c r="AK84" s="65">
        <v>20</v>
      </c>
      <c r="AM84" s="413"/>
      <c r="AN84" s="413"/>
      <c r="AO84" s="413"/>
      <c r="AP84" s="414"/>
      <c r="AQ84" s="413"/>
      <c r="AR84" s="413"/>
      <c r="AS84" s="413"/>
      <c r="AT84" s="413"/>
      <c r="AU84" s="4"/>
    </row>
    <row r="85" spans="3:47" x14ac:dyDescent="0.2">
      <c r="C85" s="22" t="str">
        <f>"R-SW_Att"&amp;"_"&amp;RIGHT(E85,3)&amp;"_N1"</f>
        <v>R-SW_Att_KER_N1</v>
      </c>
      <c r="D85" s="23" t="s">
        <v>97</v>
      </c>
      <c r="E85" s="24" t="s">
        <v>243</v>
      </c>
      <c r="F85" s="24"/>
      <c r="G85" s="57" t="s">
        <v>620</v>
      </c>
      <c r="H85" s="22">
        <v>1.05</v>
      </c>
      <c r="I85" s="23">
        <v>1.1000000000000001</v>
      </c>
      <c r="J85" s="23">
        <v>1.1499999999999999</v>
      </c>
      <c r="K85" s="57">
        <v>1.2</v>
      </c>
      <c r="L85" s="44"/>
      <c r="M85" s="32"/>
      <c r="N85" s="32"/>
      <c r="O85" s="45"/>
      <c r="P85" s="22">
        <f>H85*0.7</f>
        <v>0.73499999999999999</v>
      </c>
      <c r="Q85" s="23">
        <f t="shared" ref="Q85:Q87" si="68">I85*0.7</f>
        <v>0.77</v>
      </c>
      <c r="R85" s="23">
        <f t="shared" ref="R85:R87" si="69">J85*0.7</f>
        <v>0.80499999999999994</v>
      </c>
      <c r="S85" s="57">
        <f t="shared" ref="S85:S87" si="70">K85*0.7</f>
        <v>0.84</v>
      </c>
      <c r="T85" s="53">
        <v>20</v>
      </c>
      <c r="U85" s="25"/>
      <c r="V85" s="350">
        <f>V89*1.3</f>
        <v>4.2773760330578519</v>
      </c>
      <c r="W85" s="350">
        <f t="shared" ref="W85:Y85" si="71">W89*1.3</f>
        <v>4.2773760330578519</v>
      </c>
      <c r="X85" s="350">
        <f t="shared" si="71"/>
        <v>4.2773760330578519</v>
      </c>
      <c r="Y85" s="350">
        <f t="shared" si="71"/>
        <v>4.2773760330578519</v>
      </c>
      <c r="Z85" s="350">
        <v>0.12</v>
      </c>
      <c r="AA85" s="66"/>
      <c r="AB85" s="44"/>
      <c r="AC85" s="72"/>
      <c r="AD85" s="72"/>
      <c r="AE85" s="72"/>
      <c r="AF85" s="72"/>
      <c r="AG85" s="72"/>
      <c r="AH85" s="63">
        <f t="shared" si="67"/>
        <v>0.7884000000000001</v>
      </c>
      <c r="AI85" s="66"/>
      <c r="AJ85" s="66">
        <v>2019</v>
      </c>
      <c r="AK85" s="66">
        <v>25</v>
      </c>
      <c r="AM85" s="413"/>
      <c r="AN85" s="413"/>
      <c r="AO85" s="413"/>
      <c r="AP85" s="414"/>
      <c r="AQ85" s="413"/>
      <c r="AR85" s="413"/>
      <c r="AS85" s="413"/>
      <c r="AT85" s="413"/>
      <c r="AU85" s="4"/>
    </row>
    <row r="86" spans="3:47" x14ac:dyDescent="0.2">
      <c r="C86" s="40" t="str">
        <f>"R-SW_Att"&amp;"_"&amp;RIGHT(E86,3)&amp;"_N2"</f>
        <v>R-SW_Att_KER_N2</v>
      </c>
      <c r="D86" s="29" t="s">
        <v>98</v>
      </c>
      <c r="E86" s="30" t="s">
        <v>245</v>
      </c>
      <c r="F86" s="30"/>
      <c r="G86" s="58" t="s">
        <v>620</v>
      </c>
      <c r="H86" s="40">
        <v>1.1399999999999999</v>
      </c>
      <c r="I86" s="29">
        <v>1.17</v>
      </c>
      <c r="J86" s="29">
        <v>1.2</v>
      </c>
      <c r="K86" s="58">
        <v>1.23</v>
      </c>
      <c r="L86" s="42"/>
      <c r="M86" s="31"/>
      <c r="N86" s="31"/>
      <c r="O86" s="43"/>
      <c r="P86" s="40">
        <f>H86*0.7</f>
        <v>0.79799999999999993</v>
      </c>
      <c r="Q86" s="29">
        <f t="shared" si="68"/>
        <v>0.81899999999999995</v>
      </c>
      <c r="R86" s="29">
        <f t="shared" si="69"/>
        <v>0.84</v>
      </c>
      <c r="S86" s="58">
        <f t="shared" si="70"/>
        <v>0.86099999999999999</v>
      </c>
      <c r="T86" s="54">
        <v>20</v>
      </c>
      <c r="U86" s="41"/>
      <c r="V86" s="62">
        <f>((JRC_Data!BB7+JRC_Data!BB45)*0.8/1000)*$U$289</f>
        <v>9.0810810810810807</v>
      </c>
      <c r="W86" s="62">
        <f>((JRC_Data!BC7+JRC_Data!BC45)*0.8/1000)*$U$289</f>
        <v>8.8540540540540533</v>
      </c>
      <c r="X86" s="62">
        <f>((JRC_Data!BD7+JRC_Data!BD45)*0.8/1000)*$U$289</f>
        <v>8.4756756756756761</v>
      </c>
      <c r="Y86" s="62">
        <f>((JRC_Data!BE7+JRC_Data!BE45)*0.8/1000)*$U$289</f>
        <v>7.7945945945945949</v>
      </c>
      <c r="Z86" s="58">
        <f>((JRC_Data!BL7+JRC_Data!BL45)*0.8)/1000</f>
        <v>0.2656</v>
      </c>
      <c r="AA86" s="65"/>
      <c r="AB86" s="42">
        <v>0.25</v>
      </c>
      <c r="AC86" s="71"/>
      <c r="AD86" s="71"/>
      <c r="AE86" s="71"/>
      <c r="AF86" s="71"/>
      <c r="AG86" s="209">
        <v>5</v>
      </c>
      <c r="AH86" s="62">
        <f t="shared" si="67"/>
        <v>0.7884000000000001</v>
      </c>
      <c r="AI86" s="65"/>
      <c r="AJ86" s="65">
        <v>2019</v>
      </c>
      <c r="AK86" s="65">
        <v>25</v>
      </c>
      <c r="AU86" s="4"/>
    </row>
    <row r="87" spans="3:47" x14ac:dyDescent="0.2">
      <c r="C87" s="22" t="str">
        <f>"R-SW_Att"&amp;"_"&amp;RIGHT(E87,3)&amp;"_N3"</f>
        <v>R-SW_Att_KER_N3</v>
      </c>
      <c r="D87" s="23" t="s">
        <v>102</v>
      </c>
      <c r="E87" s="24" t="s">
        <v>246</v>
      </c>
      <c r="F87" s="24"/>
      <c r="G87" s="57" t="s">
        <v>620</v>
      </c>
      <c r="H87" s="22">
        <v>1.04</v>
      </c>
      <c r="I87" s="23">
        <v>1.0900000000000001</v>
      </c>
      <c r="J87" s="23">
        <v>1.1299999999999999</v>
      </c>
      <c r="K87" s="57">
        <v>1.1599999999999999</v>
      </c>
      <c r="L87" s="44"/>
      <c r="M87" s="32"/>
      <c r="N87" s="32"/>
      <c r="O87" s="45"/>
      <c r="P87" s="22">
        <f>H87*0.7</f>
        <v>0.72799999999999998</v>
      </c>
      <c r="Q87" s="23">
        <f t="shared" si="68"/>
        <v>0.76300000000000001</v>
      </c>
      <c r="R87" s="23">
        <f t="shared" si="69"/>
        <v>0.79099999999999993</v>
      </c>
      <c r="S87" s="57">
        <f t="shared" si="70"/>
        <v>0.81199999999999994</v>
      </c>
      <c r="T87" s="53">
        <v>20</v>
      </c>
      <c r="U87" s="25"/>
      <c r="V87" s="63">
        <f>((JRC_Data!BB7+JRC_Data!BB11)*0.8/1000)*$U$289</f>
        <v>10.102702702702702</v>
      </c>
      <c r="W87" s="63">
        <f>((JRC_Data!BC7+JRC_Data!BC11)*0.8/1000)*$U$289</f>
        <v>10.102702702702702</v>
      </c>
      <c r="X87" s="63">
        <f>((JRC_Data!BD7+JRC_Data!BD11)*0.8/1000)*$U$289</f>
        <v>10.670270270270269</v>
      </c>
      <c r="Y87" s="63">
        <f>((JRC_Data!BE7+JRC_Data!BE11)*0.8/1000)*$U$289</f>
        <v>10.670270270270269</v>
      </c>
      <c r="Z87" s="58">
        <f>((JRC_Data!BL7+JRC_Data!BL11)*0.8)/1000</f>
        <v>0.23680000000000001</v>
      </c>
      <c r="AA87" s="66"/>
      <c r="AB87" s="44"/>
      <c r="AC87" s="72">
        <v>0.47</v>
      </c>
      <c r="AD87" s="72"/>
      <c r="AE87" s="72"/>
      <c r="AF87" s="72"/>
      <c r="AG87" s="66">
        <v>5</v>
      </c>
      <c r="AH87" s="63">
        <f>31.536*(AK87/1000)</f>
        <v>0.7884000000000001</v>
      </c>
      <c r="AI87" s="66"/>
      <c r="AJ87" s="66">
        <v>2019</v>
      </c>
      <c r="AK87" s="66">
        <v>25</v>
      </c>
      <c r="AM87" s="4" t="s">
        <v>20</v>
      </c>
      <c r="AN87" s="11"/>
      <c r="AO87" s="11"/>
      <c r="AP87" s="11"/>
      <c r="AQ87" s="11"/>
      <c r="AR87" s="11"/>
      <c r="AS87" s="11"/>
      <c r="AU87" s="4"/>
    </row>
    <row r="88" spans="3:47" ht="25.5" x14ac:dyDescent="0.2">
      <c r="C88" s="40" t="str">
        <f>"R-SH_Att"&amp;"_"&amp;RIGHT(E88,3)&amp;"_N1"</f>
        <v>R-SH_Att_GAS_N1</v>
      </c>
      <c r="D88" s="29" t="s">
        <v>95</v>
      </c>
      <c r="E88" s="30" t="s">
        <v>599</v>
      </c>
      <c r="F88" s="30"/>
      <c r="G88" s="58" t="s">
        <v>619</v>
      </c>
      <c r="H88" s="40">
        <v>1.05</v>
      </c>
      <c r="I88" s="29">
        <v>1.1000000000000001</v>
      </c>
      <c r="J88" s="29">
        <v>1.1499999999999999</v>
      </c>
      <c r="K88" s="58">
        <v>1.2</v>
      </c>
      <c r="L88" s="42"/>
      <c r="M88" s="31"/>
      <c r="N88" s="31"/>
      <c r="O88" s="43"/>
      <c r="P88" s="40"/>
      <c r="Q88" s="29"/>
      <c r="R88" s="29"/>
      <c r="S88" s="58"/>
      <c r="T88" s="54">
        <v>20</v>
      </c>
      <c r="U88" s="41"/>
      <c r="V88" s="349">
        <f>3.25</f>
        <v>3.25</v>
      </c>
      <c r="W88" s="349">
        <f t="shared" ref="W88:Y88" si="72">3.25</f>
        <v>3.25</v>
      </c>
      <c r="X88" s="349">
        <f t="shared" si="72"/>
        <v>3.25</v>
      </c>
      <c r="Y88" s="349">
        <f t="shared" si="72"/>
        <v>3.25</v>
      </c>
      <c r="Z88" s="349">
        <v>0.12</v>
      </c>
      <c r="AA88" s="65"/>
      <c r="AB88" s="42"/>
      <c r="AC88" s="71"/>
      <c r="AD88" s="71"/>
      <c r="AE88" s="71"/>
      <c r="AF88" s="71">
        <v>0.01</v>
      </c>
      <c r="AG88" s="71"/>
      <c r="AH88" s="62">
        <f t="shared" si="67"/>
        <v>0.63072000000000006</v>
      </c>
      <c r="AI88" s="65"/>
      <c r="AJ88" s="65">
        <v>2019</v>
      </c>
      <c r="AK88" s="65">
        <v>20</v>
      </c>
      <c r="AM88" s="12" t="s">
        <v>27</v>
      </c>
      <c r="AN88" s="12" t="s">
        <v>21</v>
      </c>
      <c r="AO88" s="12" t="s">
        <v>22</v>
      </c>
      <c r="AP88" s="12" t="s">
        <v>28</v>
      </c>
      <c r="AQ88" s="12" t="s">
        <v>29</v>
      </c>
      <c r="AR88" s="12" t="s">
        <v>131</v>
      </c>
      <c r="AS88" s="12" t="s">
        <v>30</v>
      </c>
      <c r="AT88" s="12" t="s">
        <v>67</v>
      </c>
      <c r="AU88" s="4"/>
    </row>
    <row r="89" spans="3:47" ht="45" x14ac:dyDescent="0.2">
      <c r="C89" s="22" t="str">
        <f>"R-SW_Att"&amp;"_"&amp;RIGHT(E89,3)&amp;"_N1"</f>
        <v>R-SW_Att_GAS_N1</v>
      </c>
      <c r="D89" s="23" t="s">
        <v>99</v>
      </c>
      <c r="E89" s="24" t="s">
        <v>599</v>
      </c>
      <c r="F89" s="24"/>
      <c r="G89" s="57" t="s">
        <v>620</v>
      </c>
      <c r="H89" s="22">
        <v>1.05</v>
      </c>
      <c r="I89" s="23">
        <v>1.1000000000000001</v>
      </c>
      <c r="J89" s="23">
        <v>1.1499999999999999</v>
      </c>
      <c r="K89" s="57">
        <v>1.2</v>
      </c>
      <c r="L89" s="44"/>
      <c r="M89" s="32"/>
      <c r="N89" s="32"/>
      <c r="O89" s="45"/>
      <c r="P89" s="22">
        <f>H89*0.7</f>
        <v>0.73499999999999999</v>
      </c>
      <c r="Q89" s="23">
        <f t="shared" ref="Q89:Q91" si="73">I89*0.7</f>
        <v>0.77</v>
      </c>
      <c r="R89" s="23">
        <f t="shared" ref="R89:R91" si="74">J89*0.7</f>
        <v>0.80499999999999994</v>
      </c>
      <c r="S89" s="57">
        <f t="shared" ref="S89:S91" si="75">K89*0.7</f>
        <v>0.84</v>
      </c>
      <c r="T89" s="53">
        <v>20</v>
      </c>
      <c r="U89" s="25"/>
      <c r="V89" s="350">
        <f>V88*($U$289/$U$288)</f>
        <v>3.2902892561983474</v>
      </c>
      <c r="W89" s="350">
        <f>W88*($U$289/$U$288)</f>
        <v>3.2902892561983474</v>
      </c>
      <c r="X89" s="350">
        <f>X88*($U$289/$U$288)</f>
        <v>3.2902892561983474</v>
      </c>
      <c r="Y89" s="350">
        <f>Y88*($U$289/$U$288)</f>
        <v>3.2902892561983474</v>
      </c>
      <c r="Z89" s="350">
        <v>0.12</v>
      </c>
      <c r="AA89" s="66"/>
      <c r="AB89" s="44"/>
      <c r="AC89" s="72"/>
      <c r="AD89" s="72"/>
      <c r="AE89" s="72"/>
      <c r="AF89" s="72">
        <v>0.01</v>
      </c>
      <c r="AG89" s="72"/>
      <c r="AH89" s="63">
        <f t="shared" si="67"/>
        <v>0.7884000000000001</v>
      </c>
      <c r="AI89" s="66"/>
      <c r="AJ89" s="66">
        <v>2019</v>
      </c>
      <c r="AK89" s="66">
        <v>25</v>
      </c>
      <c r="AM89" s="204" t="s">
        <v>69</v>
      </c>
      <c r="AN89" s="204" t="s">
        <v>70</v>
      </c>
      <c r="AO89" s="204" t="s">
        <v>33</v>
      </c>
      <c r="AP89" s="204" t="s">
        <v>71</v>
      </c>
      <c r="AQ89" s="204" t="s">
        <v>72</v>
      </c>
      <c r="AR89" s="204" t="s">
        <v>683</v>
      </c>
      <c r="AS89" s="204" t="s">
        <v>73</v>
      </c>
      <c r="AT89" s="204" t="s">
        <v>74</v>
      </c>
      <c r="AU89" s="4"/>
    </row>
    <row r="90" spans="3:47" ht="15" x14ac:dyDescent="0.25">
      <c r="C90" s="40" t="str">
        <f>"R-SW_Att"&amp;"_"&amp;RIGHT(E90,3)&amp;"_N2"</f>
        <v>R-SW_Att_GAS_N2</v>
      </c>
      <c r="D90" s="29" t="s">
        <v>100</v>
      </c>
      <c r="E90" s="30" t="s">
        <v>601</v>
      </c>
      <c r="F90" s="30"/>
      <c r="G90" s="58" t="s">
        <v>620</v>
      </c>
      <c r="H90" s="40">
        <v>1.1399999999999999</v>
      </c>
      <c r="I90" s="29">
        <v>1.17</v>
      </c>
      <c r="J90" s="29">
        <v>1.2</v>
      </c>
      <c r="K90" s="58">
        <v>1.23</v>
      </c>
      <c r="L90" s="42"/>
      <c r="M90" s="31"/>
      <c r="N90" s="31"/>
      <c r="O90" s="43"/>
      <c r="P90" s="40">
        <f>H90*0.7</f>
        <v>0.79799999999999993</v>
      </c>
      <c r="Q90" s="29">
        <f t="shared" si="73"/>
        <v>0.81899999999999995</v>
      </c>
      <c r="R90" s="29">
        <f t="shared" si="74"/>
        <v>0.84</v>
      </c>
      <c r="S90" s="58">
        <f t="shared" si="75"/>
        <v>0.86099999999999999</v>
      </c>
      <c r="T90" s="54">
        <v>20</v>
      </c>
      <c r="U90" s="41"/>
      <c r="V90" s="349">
        <v>12.75</v>
      </c>
      <c r="W90" s="349">
        <f>V90*0.9685</f>
        <v>12.348375000000001</v>
      </c>
      <c r="X90" s="349">
        <f>V90*0.916</f>
        <v>11.679</v>
      </c>
      <c r="Y90" s="349">
        <f>V90*0.812</f>
        <v>10.353000000000002</v>
      </c>
      <c r="Z90" s="349">
        <v>0.19</v>
      </c>
      <c r="AA90" s="65"/>
      <c r="AB90" s="42">
        <v>0.25</v>
      </c>
      <c r="AC90" s="71"/>
      <c r="AD90" s="71"/>
      <c r="AE90" s="71"/>
      <c r="AF90" s="71">
        <v>0.01</v>
      </c>
      <c r="AG90" s="209">
        <v>5</v>
      </c>
      <c r="AH90" s="62">
        <f t="shared" si="67"/>
        <v>0.7884000000000001</v>
      </c>
      <c r="AI90" s="65"/>
      <c r="AJ90" s="65">
        <v>2019</v>
      </c>
      <c r="AK90" s="65">
        <v>25</v>
      </c>
      <c r="AM90" s="100" t="s">
        <v>31</v>
      </c>
      <c r="AN90" s="99" t="str">
        <f t="shared" ref="AN90:AN101" si="76">C84</f>
        <v>R-SH_Att_KER_N1</v>
      </c>
      <c r="AO90" s="99" t="str">
        <f t="shared" ref="AO90:AO101" si="77">D84</f>
        <v>Residential Kerosene Heating Oil - New 1 SH</v>
      </c>
      <c r="AP90" s="100" t="s">
        <v>13</v>
      </c>
      <c r="AQ90" s="116" t="s">
        <v>119</v>
      </c>
      <c r="AR90" s="100"/>
      <c r="AT90" s="100" t="s">
        <v>75</v>
      </c>
      <c r="AU90" s="4"/>
    </row>
    <row r="91" spans="3:47" ht="15" x14ac:dyDescent="0.25">
      <c r="C91" s="22" t="str">
        <f>"R-SW_Att"&amp;"_"&amp;RIGHT(E91,3)&amp;"_N3"</f>
        <v>R-SW_Att_GAS_N3</v>
      </c>
      <c r="D91" s="23" t="s">
        <v>101</v>
      </c>
      <c r="E91" s="24" t="s">
        <v>602</v>
      </c>
      <c r="F91" s="24"/>
      <c r="G91" s="57" t="s">
        <v>620</v>
      </c>
      <c r="H91" s="22">
        <v>1.04</v>
      </c>
      <c r="I91" s="23">
        <v>1.0900000000000001</v>
      </c>
      <c r="J91" s="23">
        <v>1.1299999999999999</v>
      </c>
      <c r="K91" s="57">
        <v>1.1599999999999999</v>
      </c>
      <c r="L91" s="44"/>
      <c r="M91" s="32"/>
      <c r="N91" s="32"/>
      <c r="O91" s="45"/>
      <c r="P91" s="22">
        <f>H91*0.7</f>
        <v>0.72799999999999998</v>
      </c>
      <c r="Q91" s="23">
        <f t="shared" si="73"/>
        <v>0.76300000000000001</v>
      </c>
      <c r="R91" s="23">
        <f t="shared" si="74"/>
        <v>0.79099999999999993</v>
      </c>
      <c r="S91" s="57">
        <f t="shared" si="75"/>
        <v>0.81199999999999994</v>
      </c>
      <c r="T91" s="53">
        <v>20</v>
      </c>
      <c r="U91" s="25"/>
      <c r="V91" s="63">
        <f>((JRC_Data!BB9+JRC_Data!BB11)*0.8/1000)*($U$289/$U$288)</f>
        <v>8.7066115702479348</v>
      </c>
      <c r="W91" s="63">
        <f>((JRC_Data!BC9+JRC_Data!BC11)*0.8/1000)*($U$289/$U$288)</f>
        <v>8.7066115702479348</v>
      </c>
      <c r="X91" s="63">
        <f>((JRC_Data!BD9+JRC_Data!BD11)*0.8/1000)*($U$289/$U$288)</f>
        <v>9.3140495867768589</v>
      </c>
      <c r="Y91" s="63">
        <f>((JRC_Data!BE9+JRC_Data!BE11)*0.8/1000)*($U$289/$U$288)</f>
        <v>9.3140495867768589</v>
      </c>
      <c r="Z91" s="58">
        <f>((JRC_Data!BL9+JRC_Data!BL11)*0.8)/1000</f>
        <v>0.20880000000000001</v>
      </c>
      <c r="AA91" s="66"/>
      <c r="AB91" s="44"/>
      <c r="AC91" s="72">
        <v>0.47</v>
      </c>
      <c r="AD91" s="72"/>
      <c r="AE91" s="72"/>
      <c r="AF91" s="72">
        <v>0.01</v>
      </c>
      <c r="AG91" s="66">
        <v>5</v>
      </c>
      <c r="AH91" s="63">
        <f t="shared" si="67"/>
        <v>0.7884000000000001</v>
      </c>
      <c r="AI91" s="66"/>
      <c r="AJ91" s="66">
        <v>2019</v>
      </c>
      <c r="AK91" s="66">
        <v>25</v>
      </c>
      <c r="AM91" s="100"/>
      <c r="AN91" s="99" t="str">
        <f t="shared" si="76"/>
        <v>R-SW_Att_KER_N1</v>
      </c>
      <c r="AO91" s="99" t="str">
        <f t="shared" si="77"/>
        <v>Residential Kerosene Heating Oil - New 2 SH + WH</v>
      </c>
      <c r="AP91" s="100" t="s">
        <v>13</v>
      </c>
      <c r="AQ91" s="116" t="s">
        <v>119</v>
      </c>
      <c r="AR91" s="100"/>
      <c r="AT91" s="100" t="s">
        <v>75</v>
      </c>
      <c r="AU91" s="4"/>
    </row>
    <row r="92" spans="3:47" ht="15" x14ac:dyDescent="0.25">
      <c r="C92" s="40" t="str">
        <f>"R-SH_Att"&amp;"_"&amp;RIGHT(E92,3)&amp;"_N1"</f>
        <v>R-SH_Att_LPG_N1</v>
      </c>
      <c r="D92" s="29" t="s">
        <v>103</v>
      </c>
      <c r="E92" s="30" t="s">
        <v>244</v>
      </c>
      <c r="F92" s="30"/>
      <c r="G92" s="58" t="s">
        <v>619</v>
      </c>
      <c r="H92" s="40">
        <v>1.05</v>
      </c>
      <c r="I92" s="29">
        <v>1.1000000000000001</v>
      </c>
      <c r="J92" s="29">
        <v>1.1499999999999999</v>
      </c>
      <c r="K92" s="58">
        <v>1.2</v>
      </c>
      <c r="L92" s="42"/>
      <c r="M92" s="31"/>
      <c r="N92" s="31"/>
      <c r="O92" s="43"/>
      <c r="P92" s="40"/>
      <c r="Q92" s="29"/>
      <c r="R92" s="29"/>
      <c r="S92" s="58"/>
      <c r="T92" s="54">
        <v>20</v>
      </c>
      <c r="U92" s="41"/>
      <c r="V92" s="349">
        <f>SUM(V88+0.3)</f>
        <v>3.55</v>
      </c>
      <c r="W92" s="349">
        <f>SUM(W88+0.3)</f>
        <v>3.55</v>
      </c>
      <c r="X92" s="349">
        <f>SUM(X88+0.3)</f>
        <v>3.55</v>
      </c>
      <c r="Y92" s="349">
        <f>SUM(Y88+0.3)</f>
        <v>3.55</v>
      </c>
      <c r="Z92" s="349">
        <f>SUM(0.12+0.15)</f>
        <v>0.27</v>
      </c>
      <c r="AA92" s="65"/>
      <c r="AB92" s="42"/>
      <c r="AC92" s="71"/>
      <c r="AD92" s="71"/>
      <c r="AE92" s="71"/>
      <c r="AF92" s="71"/>
      <c r="AG92" s="71"/>
      <c r="AH92" s="62">
        <f t="shared" si="67"/>
        <v>0.63072000000000006</v>
      </c>
      <c r="AI92" s="65"/>
      <c r="AJ92" s="65">
        <v>2019</v>
      </c>
      <c r="AK92" s="65">
        <v>20</v>
      </c>
      <c r="AM92" s="100"/>
      <c r="AN92" s="99" t="str">
        <f t="shared" si="76"/>
        <v>R-SW_Att_KER_N2</v>
      </c>
      <c r="AO92" s="99" t="str">
        <f t="shared" si="77"/>
        <v>Residential Kerosene Heating Oil - New 3 SH+WH + Solar</v>
      </c>
      <c r="AP92" s="100" t="s">
        <v>13</v>
      </c>
      <c r="AQ92" s="116" t="s">
        <v>119</v>
      </c>
      <c r="AR92" s="100"/>
      <c r="AT92" s="100" t="s">
        <v>75</v>
      </c>
    </row>
    <row r="93" spans="3:47" ht="15" x14ac:dyDescent="0.25">
      <c r="C93" s="22" t="str">
        <f>"R-SW_Att"&amp;"_"&amp;RIGHT(E93,3)&amp;"_N1"</f>
        <v>R-SW_Att_LPG_N1</v>
      </c>
      <c r="D93" s="23" t="s">
        <v>104</v>
      </c>
      <c r="E93" s="24" t="s">
        <v>244</v>
      </c>
      <c r="F93" s="24"/>
      <c r="G93" s="57" t="s">
        <v>620</v>
      </c>
      <c r="H93" s="22">
        <v>1.05</v>
      </c>
      <c r="I93" s="23">
        <v>1.1000000000000001</v>
      </c>
      <c r="J93" s="23">
        <v>1.1499999999999999</v>
      </c>
      <c r="K93" s="57">
        <v>1.2</v>
      </c>
      <c r="L93" s="44"/>
      <c r="M93" s="32"/>
      <c r="N93" s="32"/>
      <c r="O93" s="45"/>
      <c r="P93" s="22">
        <f>H93*0.7</f>
        <v>0.73499999999999999</v>
      </c>
      <c r="Q93" s="23">
        <f t="shared" ref="Q93" si="78">I93*0.7</f>
        <v>0.77</v>
      </c>
      <c r="R93" s="23">
        <f t="shared" ref="R93" si="79">J93*0.7</f>
        <v>0.80499999999999994</v>
      </c>
      <c r="S93" s="57">
        <f t="shared" ref="S93" si="80">K93*0.7</f>
        <v>0.84</v>
      </c>
      <c r="T93" s="53">
        <v>20</v>
      </c>
      <c r="U93" s="25"/>
      <c r="V93" s="350">
        <f>V88*($U$289/$U$288)+0.3</f>
        <v>3.5902892561983473</v>
      </c>
      <c r="W93" s="350">
        <f>W88*($U$289/$U$288)+0.3</f>
        <v>3.5902892561983473</v>
      </c>
      <c r="X93" s="350">
        <f>X88*($U$289/$U$288)+0.3</f>
        <v>3.5902892561983473</v>
      </c>
      <c r="Y93" s="350">
        <f>Y88*($U$289/$U$288)+0.3</f>
        <v>3.5902892561983473</v>
      </c>
      <c r="Z93" s="349">
        <f>SUM(0.12+0.15)</f>
        <v>0.27</v>
      </c>
      <c r="AA93" s="66"/>
      <c r="AB93" s="44"/>
      <c r="AC93" s="72"/>
      <c r="AD93" s="72"/>
      <c r="AE93" s="72"/>
      <c r="AF93" s="72"/>
      <c r="AG93" s="72"/>
      <c r="AH93" s="63">
        <f t="shared" si="67"/>
        <v>0.7884000000000001</v>
      </c>
      <c r="AI93" s="66"/>
      <c r="AJ93" s="66">
        <v>2019</v>
      </c>
      <c r="AK93" s="66">
        <v>25</v>
      </c>
      <c r="AM93" s="100"/>
      <c r="AN93" s="99" t="str">
        <f t="shared" si="76"/>
        <v>R-SW_Att_KER_N3</v>
      </c>
      <c r="AO93" s="99" t="str">
        <f t="shared" si="77"/>
        <v>Residential Kerosene Heating Oil - New 3 SH+WH + Wood Stove</v>
      </c>
      <c r="AP93" s="101" t="s">
        <v>13</v>
      </c>
      <c r="AQ93" s="116" t="s">
        <v>119</v>
      </c>
      <c r="AR93" s="100"/>
      <c r="AT93" s="100"/>
    </row>
    <row r="94" spans="3:47" ht="15" x14ac:dyDescent="0.25">
      <c r="C94" s="40" t="str">
        <f>"R-SH_Att"&amp;"_"&amp;RIGHT(E94,3)&amp;"_N1"</f>
        <v>R-SH_Att_WOO_N1</v>
      </c>
      <c r="D94" s="29" t="s">
        <v>105</v>
      </c>
      <c r="E94" s="30" t="s">
        <v>247</v>
      </c>
      <c r="F94" s="30"/>
      <c r="G94" s="58" t="s">
        <v>619</v>
      </c>
      <c r="H94" s="40">
        <v>1.1399999999999999</v>
      </c>
      <c r="I94" s="29">
        <v>1.17</v>
      </c>
      <c r="J94" s="29">
        <v>1.2</v>
      </c>
      <c r="K94" s="58">
        <v>1.23</v>
      </c>
      <c r="L94" s="42"/>
      <c r="M94" s="31"/>
      <c r="N94" s="31"/>
      <c r="O94" s="43"/>
      <c r="P94" s="40"/>
      <c r="Q94" s="29"/>
      <c r="R94" s="29"/>
      <c r="S94" s="58"/>
      <c r="T94" s="54">
        <v>20</v>
      </c>
      <c r="U94" s="41"/>
      <c r="V94" s="349">
        <v>20.48</v>
      </c>
      <c r="W94" s="349">
        <f>V94*0.96777</f>
        <v>19.819929600000002</v>
      </c>
      <c r="X94" s="349">
        <f>V94*0.914844</f>
        <v>18.736005120000002</v>
      </c>
      <c r="Y94" s="349">
        <f>V94*0.8181</f>
        <v>16.754688000000002</v>
      </c>
      <c r="Z94" s="349">
        <v>0.25</v>
      </c>
      <c r="AA94" s="65"/>
      <c r="AB94" s="40"/>
      <c r="AC94" s="71"/>
      <c r="AD94" s="71"/>
      <c r="AE94" s="71"/>
      <c r="AF94" s="71"/>
      <c r="AG94" s="71"/>
      <c r="AH94" s="62">
        <f t="shared" si="67"/>
        <v>0.63072000000000006</v>
      </c>
      <c r="AI94" s="65"/>
      <c r="AJ94" s="65">
        <v>2019</v>
      </c>
      <c r="AK94" s="65">
        <v>20</v>
      </c>
      <c r="AM94" s="100"/>
      <c r="AN94" s="99" t="str">
        <f t="shared" si="76"/>
        <v>R-SH_Att_GAS_N1</v>
      </c>
      <c r="AO94" s="99" t="str">
        <f t="shared" si="77"/>
        <v>Residential Natural Gas Heating - New 1 SH</v>
      </c>
      <c r="AP94" s="100" t="s">
        <v>13</v>
      </c>
      <c r="AQ94" s="116" t="s">
        <v>119</v>
      </c>
      <c r="AR94" s="100"/>
      <c r="AT94" s="100" t="s">
        <v>75</v>
      </c>
    </row>
    <row r="95" spans="3:47" ht="15" x14ac:dyDescent="0.25">
      <c r="C95" s="22" t="str">
        <f>"R-SW_Att"&amp;"_"&amp;RIGHT(E95,3)&amp;"_N1"</f>
        <v>R-SW_Att_WOO_N1</v>
      </c>
      <c r="D95" s="23" t="s">
        <v>106</v>
      </c>
      <c r="E95" s="24" t="s">
        <v>247</v>
      </c>
      <c r="F95" s="24"/>
      <c r="G95" s="57" t="s">
        <v>620</v>
      </c>
      <c r="H95" s="22">
        <v>1.04</v>
      </c>
      <c r="I95" s="23">
        <v>1.0900000000000001</v>
      </c>
      <c r="J95" s="23">
        <v>1.1299999999999999</v>
      </c>
      <c r="K95" s="57">
        <v>1.1599999999999999</v>
      </c>
      <c r="L95" s="44"/>
      <c r="M95" s="32"/>
      <c r="N95" s="32"/>
      <c r="O95" s="45"/>
      <c r="P95" s="22">
        <f t="shared" ref="P95:S99" si="81">H95*0.7</f>
        <v>0.72799999999999998</v>
      </c>
      <c r="Q95" s="23">
        <f t="shared" si="81"/>
        <v>0.76300000000000001</v>
      </c>
      <c r="R95" s="23">
        <f t="shared" si="81"/>
        <v>0.79099999999999993</v>
      </c>
      <c r="S95" s="57">
        <f t="shared" si="81"/>
        <v>0.81199999999999994</v>
      </c>
      <c r="T95" s="53">
        <v>20</v>
      </c>
      <c r="U95" s="25"/>
      <c r="V95" s="350">
        <f>V94*($U$289/$U$288)</f>
        <v>20.733884297520664</v>
      </c>
      <c r="W95" s="350">
        <f>W94*($U$289/$U$288)</f>
        <v>20.065631206611574</v>
      </c>
      <c r="X95" s="350">
        <f>X94*($U$289/$U$288)</f>
        <v>18.968269646280994</v>
      </c>
      <c r="Y95" s="350">
        <f>Y94*($U$289/$U$288)</f>
        <v>16.962390743801656</v>
      </c>
      <c r="Z95" s="350">
        <v>0.25</v>
      </c>
      <c r="AA95" s="66"/>
      <c r="AB95" s="44"/>
      <c r="AC95" s="72"/>
      <c r="AD95" s="72"/>
      <c r="AE95" s="72"/>
      <c r="AF95" s="72"/>
      <c r="AG95" s="72"/>
      <c r="AH95" s="63">
        <f t="shared" si="67"/>
        <v>0.7884000000000001</v>
      </c>
      <c r="AI95" s="66"/>
      <c r="AJ95" s="66">
        <v>2019</v>
      </c>
      <c r="AK95" s="66">
        <v>25</v>
      </c>
      <c r="AM95" s="100"/>
      <c r="AN95" s="99" t="str">
        <f t="shared" si="76"/>
        <v>R-SW_Att_GAS_N1</v>
      </c>
      <c r="AO95" s="99" t="str">
        <f t="shared" si="77"/>
        <v>Residential Natural Gas Heating - New 2 SH + WH</v>
      </c>
      <c r="AP95" s="100" t="s">
        <v>13</v>
      </c>
      <c r="AQ95" s="116" t="s">
        <v>119</v>
      </c>
      <c r="AR95" s="100"/>
      <c r="AT95" s="100" t="s">
        <v>75</v>
      </c>
    </row>
    <row r="96" spans="3:47" ht="15" x14ac:dyDescent="0.25">
      <c r="C96" s="40" t="str">
        <f>"R-SH_Att"&amp;"_"&amp;"FPL"&amp;"_N1"</f>
        <v>R-SH_Att_FPL_N1</v>
      </c>
      <c r="D96" s="29" t="s">
        <v>544</v>
      </c>
      <c r="E96" s="30" t="s">
        <v>541</v>
      </c>
      <c r="F96" s="30"/>
      <c r="G96" s="57" t="s">
        <v>688</v>
      </c>
      <c r="H96" s="40">
        <v>0.55000000000000004</v>
      </c>
      <c r="I96" s="29">
        <v>0.55000000000000004</v>
      </c>
      <c r="J96" s="29">
        <v>0.55000000000000004</v>
      </c>
      <c r="K96" s="58">
        <v>0.55000000000000004</v>
      </c>
      <c r="L96" s="44"/>
      <c r="M96" s="32"/>
      <c r="N96" s="32"/>
      <c r="O96" s="45"/>
      <c r="P96" s="22"/>
      <c r="Q96" s="23"/>
      <c r="R96" s="23"/>
      <c r="S96" s="57"/>
      <c r="T96" s="54">
        <v>20</v>
      </c>
      <c r="U96" s="25"/>
      <c r="V96" s="350">
        <f>((JRC_Data!BB13)/1000)*$U$288</f>
        <v>2.4293436293436295</v>
      </c>
      <c r="W96" s="350">
        <f>((JRC_Data!BC13)/1000)*$U$288</f>
        <v>2.4293436293436295</v>
      </c>
      <c r="X96" s="350">
        <f>((JRC_Data!BD13)/1000)*$U$288</f>
        <v>3.2702702702702702</v>
      </c>
      <c r="Y96" s="350">
        <f>((JRC_Data!BE13)/1000)*$U$288</f>
        <v>3.2702702702702702</v>
      </c>
      <c r="Z96" s="350">
        <v>0.12</v>
      </c>
      <c r="AA96" s="66"/>
      <c r="AB96" s="44"/>
      <c r="AC96" s="72"/>
      <c r="AD96" s="72"/>
      <c r="AE96" s="72"/>
      <c r="AF96" s="72"/>
      <c r="AG96" s="72"/>
      <c r="AH96" s="63">
        <f t="shared" si="67"/>
        <v>0.63072000000000006</v>
      </c>
      <c r="AI96" s="66"/>
      <c r="AJ96" s="65">
        <v>2018</v>
      </c>
      <c r="AK96" s="66">
        <v>20</v>
      </c>
      <c r="AM96" s="100"/>
      <c r="AN96" s="99" t="str">
        <f t="shared" si="76"/>
        <v>R-SW_Att_GAS_N2</v>
      </c>
      <c r="AO96" s="99" t="str">
        <f t="shared" si="77"/>
        <v>Residential Natural Gas Heating - New 3 SH + WH + Solar</v>
      </c>
      <c r="AP96" s="100" t="s">
        <v>13</v>
      </c>
      <c r="AQ96" s="116" t="s">
        <v>119</v>
      </c>
      <c r="AR96" s="100"/>
      <c r="AT96" s="100" t="s">
        <v>75</v>
      </c>
    </row>
    <row r="97" spans="3:46" ht="15" x14ac:dyDescent="0.25">
      <c r="C97" s="22" t="str">
        <f>"R-SW_Att"&amp;"_"&amp;"FPL"&amp;"_N1"</f>
        <v>R-SW_Att_FPL_N1</v>
      </c>
      <c r="D97" s="23" t="s">
        <v>545</v>
      </c>
      <c r="E97" s="24" t="s">
        <v>541</v>
      </c>
      <c r="F97" s="24"/>
      <c r="G97" s="57" t="s">
        <v>688</v>
      </c>
      <c r="H97" s="22">
        <v>0.55000000000000004</v>
      </c>
      <c r="I97" s="23">
        <v>0.55000000000000004</v>
      </c>
      <c r="J97" s="23">
        <v>0.55000000000000004</v>
      </c>
      <c r="K97" s="57">
        <v>0.55000000000000004</v>
      </c>
      <c r="L97" s="44"/>
      <c r="M97" s="32"/>
      <c r="N97" s="32"/>
      <c r="O97" s="45"/>
      <c r="P97" s="22">
        <f t="shared" ref="P97" si="82">H97*0.7</f>
        <v>0.38500000000000001</v>
      </c>
      <c r="Q97" s="23">
        <f t="shared" ref="Q97" si="83">I97*0.7</f>
        <v>0.38500000000000001</v>
      </c>
      <c r="R97" s="23">
        <f t="shared" ref="R97" si="84">J97*0.7</f>
        <v>0.38500000000000001</v>
      </c>
      <c r="S97" s="57">
        <f t="shared" ref="S97" si="85">K97*0.7</f>
        <v>0.38500000000000001</v>
      </c>
      <c r="T97" s="53">
        <v>20</v>
      </c>
      <c r="U97" s="25"/>
      <c r="V97" s="350">
        <f>((JRC_Data!BB13)/1000)*$U$289</f>
        <v>2.4594594594594597</v>
      </c>
      <c r="W97" s="350">
        <f>((JRC_Data!BC13)/1000)*$U$289</f>
        <v>2.4594594594594597</v>
      </c>
      <c r="X97" s="350">
        <f>((JRC_Data!BD13)/1000)*$U$289</f>
        <v>3.310810810810811</v>
      </c>
      <c r="Y97" s="350">
        <f>((JRC_Data!BE13)/1000)*$U$289</f>
        <v>3.310810810810811</v>
      </c>
      <c r="Z97" s="409">
        <v>0.12</v>
      </c>
      <c r="AA97" s="66"/>
      <c r="AB97" s="44"/>
      <c r="AC97" s="72"/>
      <c r="AD97" s="72"/>
      <c r="AE97" s="72"/>
      <c r="AF97" s="72"/>
      <c r="AG97" s="72"/>
      <c r="AH97" s="63">
        <f t="shared" si="67"/>
        <v>0.63072000000000006</v>
      </c>
      <c r="AI97" s="66"/>
      <c r="AJ97" s="66">
        <v>2018</v>
      </c>
      <c r="AK97" s="66">
        <v>20</v>
      </c>
      <c r="AM97" s="100"/>
      <c r="AN97" s="99" t="str">
        <f t="shared" si="76"/>
        <v>R-SW_Att_GAS_N3</v>
      </c>
      <c r="AO97" s="99" t="str">
        <f t="shared" si="77"/>
        <v>Residential Natural Gas Heating - New 4 SH + WH + Wood Stove</v>
      </c>
      <c r="AP97" s="100" t="s">
        <v>13</v>
      </c>
      <c r="AQ97" s="116" t="s">
        <v>119</v>
      </c>
      <c r="AR97" s="100"/>
      <c r="AT97" s="100" t="s">
        <v>75</v>
      </c>
    </row>
    <row r="98" spans="3:46" ht="15" x14ac:dyDescent="0.25">
      <c r="C98" s="40" t="s">
        <v>699</v>
      </c>
      <c r="D98" s="29" t="s">
        <v>705</v>
      </c>
      <c r="E98" s="30" t="s">
        <v>249</v>
      </c>
      <c r="F98" s="30"/>
      <c r="G98" s="58" t="s">
        <v>619</v>
      </c>
      <c r="H98" s="40">
        <v>1.05</v>
      </c>
      <c r="I98" s="29">
        <v>1.1000000000000001</v>
      </c>
      <c r="J98" s="29">
        <v>1.1499999999999999</v>
      </c>
      <c r="K98" s="58">
        <v>1.2</v>
      </c>
      <c r="L98" s="42"/>
      <c r="M98" s="31"/>
      <c r="N98" s="31"/>
      <c r="O98" s="43"/>
      <c r="P98" s="40"/>
      <c r="Q98" s="29"/>
      <c r="R98" s="29"/>
      <c r="S98" s="58"/>
      <c r="T98" s="54">
        <v>20</v>
      </c>
      <c r="U98" s="41"/>
      <c r="V98" s="62">
        <f>V84</f>
        <v>4.2250000000000005</v>
      </c>
      <c r="W98" s="62">
        <f t="shared" ref="W98:Z99" si="86">W84</f>
        <v>4.2250000000000005</v>
      </c>
      <c r="X98" s="62">
        <f t="shared" si="86"/>
        <v>4.2250000000000005</v>
      </c>
      <c r="Y98" s="62">
        <f t="shared" si="86"/>
        <v>4.2250000000000005</v>
      </c>
      <c r="Z98" s="62">
        <f t="shared" si="86"/>
        <v>0.12</v>
      </c>
      <c r="AA98" s="65"/>
      <c r="AB98" s="42"/>
      <c r="AC98" s="71"/>
      <c r="AD98" s="71"/>
      <c r="AE98" s="71"/>
      <c r="AF98" s="71"/>
      <c r="AG98" s="71"/>
      <c r="AH98" s="62">
        <f>31.536*(AK98/1000)</f>
        <v>0.63072000000000006</v>
      </c>
      <c r="AI98" s="65"/>
      <c r="AJ98" s="65">
        <v>2019</v>
      </c>
      <c r="AK98" s="65">
        <v>20</v>
      </c>
      <c r="AM98" s="100"/>
      <c r="AN98" s="99" t="str">
        <f t="shared" si="76"/>
        <v>R-SH_Att_LPG_N1</v>
      </c>
      <c r="AO98" s="99" t="str">
        <f t="shared" si="77"/>
        <v>Residential Liquid Petroleum Gas- New 1 SH</v>
      </c>
      <c r="AP98" s="100" t="s">
        <v>13</v>
      </c>
      <c r="AQ98" s="116" t="s">
        <v>119</v>
      </c>
      <c r="AR98" s="100"/>
      <c r="AT98" s="100" t="s">
        <v>75</v>
      </c>
    </row>
    <row r="99" spans="3:46" ht="15" x14ac:dyDescent="0.25">
      <c r="C99" s="22" t="s">
        <v>700</v>
      </c>
      <c r="D99" s="23" t="s">
        <v>706</v>
      </c>
      <c r="E99" s="24" t="s">
        <v>249</v>
      </c>
      <c r="F99" s="24"/>
      <c r="G99" s="57" t="s">
        <v>620</v>
      </c>
      <c r="H99" s="22">
        <v>1.05</v>
      </c>
      <c r="I99" s="23">
        <v>1.1000000000000001</v>
      </c>
      <c r="J99" s="23">
        <v>1.1499999999999999</v>
      </c>
      <c r="K99" s="57">
        <v>1.2</v>
      </c>
      <c r="L99" s="49"/>
      <c r="M99" s="50"/>
      <c r="N99" s="50"/>
      <c r="O99" s="51"/>
      <c r="P99" s="226">
        <f t="shared" si="81"/>
        <v>0.73499999999999999</v>
      </c>
      <c r="Q99" s="26">
        <f t="shared" si="81"/>
        <v>0.77</v>
      </c>
      <c r="R99" s="26">
        <f t="shared" si="81"/>
        <v>0.80499999999999994</v>
      </c>
      <c r="S99" s="59">
        <f t="shared" si="81"/>
        <v>0.84</v>
      </c>
      <c r="T99" s="55">
        <v>20</v>
      </c>
      <c r="U99" s="28"/>
      <c r="V99" s="62">
        <f>V85</f>
        <v>4.2773760330578519</v>
      </c>
      <c r="W99" s="62">
        <f t="shared" ref="W99:Y99" si="87">W85</f>
        <v>4.2773760330578519</v>
      </c>
      <c r="X99" s="62">
        <f t="shared" si="87"/>
        <v>4.2773760330578519</v>
      </c>
      <c r="Y99" s="62">
        <f t="shared" si="87"/>
        <v>4.2773760330578519</v>
      </c>
      <c r="Z99" s="62">
        <f t="shared" si="86"/>
        <v>0.12</v>
      </c>
      <c r="AA99" s="66"/>
      <c r="AB99" s="44"/>
      <c r="AC99" s="72"/>
      <c r="AD99" s="72"/>
      <c r="AE99" s="72"/>
      <c r="AF99" s="72"/>
      <c r="AG99" s="72"/>
      <c r="AH99" s="63">
        <f t="shared" si="67"/>
        <v>0.7884000000000001</v>
      </c>
      <c r="AI99" s="67"/>
      <c r="AJ99" s="67">
        <v>2019</v>
      </c>
      <c r="AK99" s="67">
        <v>25</v>
      </c>
      <c r="AM99" s="100"/>
      <c r="AN99" s="205" t="str">
        <f t="shared" si="76"/>
        <v>R-SW_Att_LPG_N1</v>
      </c>
      <c r="AO99" s="205" t="str">
        <f t="shared" si="77"/>
        <v>Residential Liquid Petroleum Gas- New 2 SH + WH</v>
      </c>
      <c r="AP99" s="100" t="s">
        <v>13</v>
      </c>
      <c r="AQ99" s="116" t="s">
        <v>119</v>
      </c>
      <c r="AR99" s="100"/>
      <c r="AT99" s="100" t="s">
        <v>75</v>
      </c>
    </row>
    <row r="100" spans="3:46" ht="15" x14ac:dyDescent="0.25">
      <c r="C100" s="33" t="s">
        <v>254</v>
      </c>
      <c r="D100" s="33"/>
      <c r="E100" s="34"/>
      <c r="F100" s="34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4"/>
      <c r="U100" s="34"/>
      <c r="V100" s="33"/>
      <c r="W100" s="33"/>
      <c r="X100" s="33"/>
      <c r="Y100" s="33"/>
      <c r="Z100" s="33"/>
      <c r="AA100" s="34"/>
      <c r="AB100" s="36"/>
      <c r="AC100" s="36"/>
      <c r="AD100" s="36"/>
      <c r="AE100" s="36"/>
      <c r="AF100" s="36"/>
      <c r="AG100" s="36"/>
      <c r="AH100" s="33"/>
      <c r="AI100" s="34"/>
      <c r="AJ100" s="34"/>
      <c r="AK100" s="34"/>
      <c r="AM100" s="100"/>
      <c r="AN100" s="205" t="str">
        <f t="shared" si="76"/>
        <v>R-SH_Att_WOO_N1</v>
      </c>
      <c r="AO100" s="205" t="str">
        <f t="shared" si="77"/>
        <v>Residential Biomass Boiler - New 1 SH</v>
      </c>
      <c r="AP100" s="100" t="s">
        <v>13</v>
      </c>
      <c r="AQ100" s="116" t="s">
        <v>119</v>
      </c>
      <c r="AR100" s="100"/>
      <c r="AT100" s="100" t="s">
        <v>75</v>
      </c>
    </row>
    <row r="101" spans="3:46" ht="15" x14ac:dyDescent="0.25">
      <c r="C101" s="92" t="str">
        <f>"R-SH_Att"&amp;"_"&amp;RIGHT(E101,3)&amp;"_N1"</f>
        <v>R-SH_Att_ELC_N1</v>
      </c>
      <c r="D101" s="79" t="s">
        <v>107</v>
      </c>
      <c r="E101" s="114" t="s">
        <v>144</v>
      </c>
      <c r="F101" s="114"/>
      <c r="G101" s="80" t="s">
        <v>619</v>
      </c>
      <c r="H101" s="223">
        <v>1</v>
      </c>
      <c r="I101" s="224">
        <v>1</v>
      </c>
      <c r="J101" s="224">
        <v>1</v>
      </c>
      <c r="K101" s="225">
        <v>1</v>
      </c>
      <c r="L101" s="73"/>
      <c r="M101" s="74"/>
      <c r="N101" s="74"/>
      <c r="O101" s="75"/>
      <c r="P101" s="73"/>
      <c r="Q101" s="74"/>
      <c r="R101" s="74"/>
      <c r="S101" s="75"/>
      <c r="T101" s="76">
        <v>20</v>
      </c>
      <c r="U101" s="77"/>
      <c r="V101" s="78">
        <f>(JRC_Data!BB48/1000)*($U$288/$U$283)</f>
        <v>4.7249009324373592</v>
      </c>
      <c r="W101" s="78">
        <f>(JRC_Data!BC48/1000)*($U$288/$U$283)</f>
        <v>4.7249009324373592</v>
      </c>
      <c r="X101" s="78">
        <f>(JRC_Data!BD48/1000)*($U$288/$U$283)</f>
        <v>4.7249009324373592</v>
      </c>
      <c r="Y101" s="78">
        <f>(JRC_Data!BE48/1000)*($U$288/$U$283)</f>
        <v>4.7249009324373592</v>
      </c>
      <c r="Z101" s="81">
        <f>JRC_Data!BL48/1000</f>
        <v>0.05</v>
      </c>
      <c r="AA101" s="82"/>
      <c r="AB101" s="83"/>
      <c r="AC101" s="83"/>
      <c r="AD101" s="83"/>
      <c r="AE101" s="83"/>
      <c r="AF101" s="83"/>
      <c r="AG101" s="83"/>
      <c r="AH101" s="81">
        <f t="shared" si="67"/>
        <v>0.63072000000000006</v>
      </c>
      <c r="AI101" s="82"/>
      <c r="AJ101" s="82">
        <v>2019</v>
      </c>
      <c r="AK101" s="82">
        <v>20</v>
      </c>
      <c r="AM101" s="100"/>
      <c r="AN101" s="205" t="str">
        <f t="shared" si="76"/>
        <v>R-SW_Att_WOO_N1</v>
      </c>
      <c r="AO101" s="205" t="str">
        <f t="shared" si="77"/>
        <v>Residential Biomass Boiler - New 2 SH + WH</v>
      </c>
      <c r="AP101" s="100" t="s">
        <v>13</v>
      </c>
      <c r="AQ101" s="116" t="s">
        <v>119</v>
      </c>
      <c r="AR101" s="100"/>
      <c r="AT101" s="100" t="s">
        <v>75</v>
      </c>
    </row>
    <row r="102" spans="3:46" ht="15.75" thickBot="1" x14ac:dyDescent="0.3">
      <c r="C102" s="33" t="s">
        <v>255</v>
      </c>
      <c r="D102" s="33"/>
      <c r="E102" s="34"/>
      <c r="F102" s="34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4"/>
      <c r="U102" s="34"/>
      <c r="V102" s="33"/>
      <c r="W102" s="33"/>
      <c r="X102" s="33"/>
      <c r="Y102" s="33"/>
      <c r="Z102" s="33"/>
      <c r="AA102" s="34"/>
      <c r="AB102" s="36"/>
      <c r="AC102" s="36"/>
      <c r="AD102" s="36"/>
      <c r="AE102" s="36"/>
      <c r="AF102" s="36"/>
      <c r="AG102" s="36"/>
      <c r="AH102" s="33"/>
      <c r="AI102" s="34"/>
      <c r="AJ102" s="34"/>
      <c r="AK102" s="34"/>
      <c r="AM102" s="100"/>
      <c r="AN102" s="205" t="s">
        <v>542</v>
      </c>
      <c r="AO102" s="205" t="str">
        <f>D96</f>
        <v>Residential  Stove New 1 - SH</v>
      </c>
      <c r="AP102" s="100" t="s">
        <v>13</v>
      </c>
      <c r="AQ102" s="116" t="s">
        <v>119</v>
      </c>
      <c r="AR102" s="100"/>
      <c r="AT102" s="100"/>
    </row>
    <row r="103" spans="3:46" ht="15" x14ac:dyDescent="0.25">
      <c r="C103" s="510" t="str">
        <f>"R-SH_Att"&amp;"_"&amp;RIGHT(E103,3)&amp;"_HPN1"</f>
        <v>R-SH_Att_ELC_HPN1</v>
      </c>
      <c r="D103" s="513" t="s">
        <v>109</v>
      </c>
      <c r="E103" s="511" t="s">
        <v>144</v>
      </c>
      <c r="F103" s="511" t="s">
        <v>539</v>
      </c>
      <c r="G103" s="514" t="s">
        <v>619</v>
      </c>
      <c r="H103" s="512">
        <v>1</v>
      </c>
      <c r="I103" s="513">
        <f>JRC_Data!AD16/JRC_Data!$AC$16</f>
        <v>1.0666666666666667</v>
      </c>
      <c r="J103" s="513">
        <f>JRC_Data!AE16/JRC_Data!$AC$16</f>
        <v>1.2333333333333334</v>
      </c>
      <c r="K103" s="514">
        <f>JRC_Data!AF16/JRC_Data!$AC$16</f>
        <v>1.3333333333333333</v>
      </c>
      <c r="L103" s="573"/>
      <c r="M103" s="539"/>
      <c r="N103" s="539"/>
      <c r="O103" s="574"/>
      <c r="P103" s="512"/>
      <c r="Q103" s="513"/>
      <c r="R103" s="513"/>
      <c r="S103" s="514"/>
      <c r="T103" s="575">
        <v>20</v>
      </c>
      <c r="U103" s="576"/>
      <c r="V103" s="515">
        <f>(JRC_Data!BB16/1000)*($U$288/$U$289)</f>
        <v>2.1730612244897962</v>
      </c>
      <c r="W103" s="515">
        <f>(JRC_Data!BC16/1000)*($U$288/$U$289)</f>
        <v>2.0742857142857147</v>
      </c>
      <c r="X103" s="515">
        <f>(JRC_Data!BD16/1000)*($U$288/$U$289)</f>
        <v>1.8767346938775511</v>
      </c>
      <c r="Y103" s="515">
        <f>(JRC_Data!BE16/1000)*($U$288/$U$289)</f>
        <v>1.7779591836734696</v>
      </c>
      <c r="Z103" s="514">
        <f>JRC_Data!BL16/1000</f>
        <v>3.4000000000000002E-2</v>
      </c>
      <c r="AA103" s="516"/>
      <c r="AB103" s="573"/>
      <c r="AC103" s="517"/>
      <c r="AD103" s="517"/>
      <c r="AE103" s="517"/>
      <c r="AF103" s="517"/>
      <c r="AG103" s="577"/>
      <c r="AH103" s="515">
        <f t="shared" si="67"/>
        <v>0.63072000000000006</v>
      </c>
      <c r="AI103" s="516"/>
      <c r="AJ103" s="516">
        <v>2100</v>
      </c>
      <c r="AK103" s="518">
        <v>20</v>
      </c>
      <c r="AM103" s="100"/>
      <c r="AN103" s="205" t="s">
        <v>543</v>
      </c>
      <c r="AO103" s="205" t="str">
        <f>D97</f>
        <v>Residential  Stove with back boiler New 1 - SH +WH</v>
      </c>
      <c r="AP103" s="100" t="s">
        <v>13</v>
      </c>
      <c r="AQ103" s="116" t="s">
        <v>119</v>
      </c>
      <c r="AR103" s="100"/>
      <c r="AT103" s="100"/>
    </row>
    <row r="104" spans="3:46" ht="15.75" thickBot="1" x14ac:dyDescent="0.3">
      <c r="C104" s="523" t="str">
        <f>"R-HC_Att"&amp;"_"&amp;RIGHT(E104,3)&amp;"_HPN1"</f>
        <v>R-HC_Att_ELC_HPN1</v>
      </c>
      <c r="D104" s="526" t="s">
        <v>110</v>
      </c>
      <c r="E104" s="524" t="s">
        <v>144</v>
      </c>
      <c r="F104" s="524" t="s">
        <v>539</v>
      </c>
      <c r="G104" s="527" t="s">
        <v>621</v>
      </c>
      <c r="H104" s="525">
        <v>1</v>
      </c>
      <c r="I104" s="526">
        <f>JRC_Data!AD16/JRC_Data!$AC$16</f>
        <v>1.0666666666666667</v>
      </c>
      <c r="J104" s="526">
        <f>JRC_Data!AE16/JRC_Data!$AC$16</f>
        <v>1.2333333333333334</v>
      </c>
      <c r="K104" s="527">
        <f>JRC_Data!AF16/JRC_Data!$AC$16</f>
        <v>1.3333333333333333</v>
      </c>
      <c r="L104" s="578">
        <f>H104*0.9</f>
        <v>0.9</v>
      </c>
      <c r="M104" s="542">
        <f t="shared" ref="M104:O104" si="88">I104*0.9</f>
        <v>0.96</v>
      </c>
      <c r="N104" s="542">
        <f t="shared" si="88"/>
        <v>1.1100000000000001</v>
      </c>
      <c r="O104" s="579">
        <f t="shared" si="88"/>
        <v>1.2</v>
      </c>
      <c r="P104" s="525"/>
      <c r="Q104" s="526"/>
      <c r="R104" s="526"/>
      <c r="S104" s="527"/>
      <c r="T104" s="580">
        <v>20</v>
      </c>
      <c r="U104" s="581"/>
      <c r="V104" s="528">
        <f>(JRC_Data!BB16/1000)*($U$289/$U$289)</f>
        <v>2.2000000000000002</v>
      </c>
      <c r="W104" s="528">
        <f>(JRC_Data!BC16/1000)*($U$289/$U$289)</f>
        <v>2.1</v>
      </c>
      <c r="X104" s="528">
        <f>(JRC_Data!BD16/1000)*($U$289/$U$289)</f>
        <v>1.9</v>
      </c>
      <c r="Y104" s="528">
        <f>(JRC_Data!BE16/1000)*($U$289/$U$289)</f>
        <v>1.8</v>
      </c>
      <c r="Z104" s="582">
        <f>JRC_Data!BL16/1000</f>
        <v>3.4000000000000002E-2</v>
      </c>
      <c r="AA104" s="529"/>
      <c r="AB104" s="578"/>
      <c r="AC104" s="530"/>
      <c r="AD104" s="530"/>
      <c r="AE104" s="530"/>
      <c r="AF104" s="530"/>
      <c r="AG104" s="529"/>
      <c r="AH104" s="528">
        <f t="shared" si="67"/>
        <v>0.7884000000000001</v>
      </c>
      <c r="AI104" s="529"/>
      <c r="AJ104" s="529">
        <v>2100</v>
      </c>
      <c r="AK104" s="531">
        <v>25</v>
      </c>
      <c r="AM104" s="100"/>
      <c r="AN104" s="205" t="str">
        <f>C98</f>
        <v>R-SH_Att_BDL_N1</v>
      </c>
      <c r="AO104" s="205" t="str">
        <f>D98</f>
        <v>Residential  Biodiesel boiler  - New 1 SH</v>
      </c>
      <c r="AP104" s="100" t="s">
        <v>13</v>
      </c>
      <c r="AQ104" s="116" t="s">
        <v>119</v>
      </c>
      <c r="AR104" s="100"/>
      <c r="AT104" s="100" t="s">
        <v>75</v>
      </c>
    </row>
    <row r="105" spans="3:46" ht="12" customHeight="1" thickBot="1" x14ac:dyDescent="0.3">
      <c r="C105" s="510" t="str">
        <f>"R-SH_Att"&amp;"_"&amp;RIGHT(E105,3)&amp;"_HPN2-AB"</f>
        <v>R-SH_Att_ELC_HPN2-AB</v>
      </c>
      <c r="D105" s="513" t="s">
        <v>759</v>
      </c>
      <c r="E105" s="511" t="s">
        <v>144</v>
      </c>
      <c r="F105" s="511" t="s">
        <v>539</v>
      </c>
      <c r="G105" s="514" t="s">
        <v>625</v>
      </c>
      <c r="H105" s="512">
        <v>1</v>
      </c>
      <c r="I105" s="513">
        <f>JRC_Data!AD18/JRC_Data!$AC$16</f>
        <v>1.0999999999999999</v>
      </c>
      <c r="J105" s="513">
        <f>JRC_Data!AE18/JRC_Data!$AC$16</f>
        <v>1.2333333333333334</v>
      </c>
      <c r="K105" s="514">
        <f>JRC_Data!AF18/JRC_Data!$AC$16</f>
        <v>1.3333333333333333</v>
      </c>
      <c r="L105" s="573"/>
      <c r="M105" s="539"/>
      <c r="N105" s="539"/>
      <c r="O105" s="574"/>
      <c r="P105" s="512"/>
      <c r="Q105" s="513"/>
      <c r="R105" s="513"/>
      <c r="S105" s="514"/>
      <c r="T105" s="575">
        <v>20</v>
      </c>
      <c r="U105" s="576"/>
      <c r="V105" s="515">
        <f>JRC_Data!BC18/1000*($U$288/$U$285)</f>
        <v>10.755555555555556</v>
      </c>
      <c r="W105" s="515">
        <f>JRC_Data!BD18/1000*($U$288/$U$285)</f>
        <v>10.755555555555556</v>
      </c>
      <c r="X105" s="515">
        <f>JRC_Data!BE18/1000*($U$288/$U$285)</f>
        <v>9.68</v>
      </c>
      <c r="Y105" s="515">
        <f>JRC_Data!BF18/1000*($U$288/$U$285)</f>
        <v>9.68</v>
      </c>
      <c r="Z105" s="514">
        <f>JRC_Data!$BL$18/1000*($U$288/$U$285)</f>
        <v>0.16133333333333333</v>
      </c>
      <c r="AA105" s="516"/>
      <c r="AB105" s="573"/>
      <c r="AC105" s="517"/>
      <c r="AD105" s="517"/>
      <c r="AE105" s="517"/>
      <c r="AF105" s="517"/>
      <c r="AG105" s="577"/>
      <c r="AH105" s="515">
        <f t="shared" si="67"/>
        <v>0.63072000000000006</v>
      </c>
      <c r="AI105" s="516"/>
      <c r="AJ105" s="516">
        <v>2019</v>
      </c>
      <c r="AK105" s="518">
        <v>20</v>
      </c>
      <c r="AM105" s="100"/>
      <c r="AN105" s="205" t="str">
        <f>C99</f>
        <v>R-SW_Att_BDL_N1</v>
      </c>
      <c r="AO105" s="205" t="str">
        <f>D99</f>
        <v>Residential  Biodiesel boiler - New 1 SH + WH</v>
      </c>
      <c r="AP105" s="100" t="s">
        <v>13</v>
      </c>
      <c r="AQ105" s="116" t="s">
        <v>119</v>
      </c>
      <c r="AR105" s="100"/>
      <c r="AT105" s="100" t="s">
        <v>75</v>
      </c>
    </row>
    <row r="106" spans="3:46" ht="12" customHeight="1" thickBot="1" x14ac:dyDescent="0.3">
      <c r="C106" s="519" t="str">
        <f>"R-SH_Att"&amp;"_"&amp;RIGHT(E106,3)&amp;"_HPN2-ABC"</f>
        <v>R-SH_Att_ELC_HPN2-ABC</v>
      </c>
      <c r="D106" s="23" t="s">
        <v>758</v>
      </c>
      <c r="E106" s="24" t="s">
        <v>144</v>
      </c>
      <c r="F106" s="24" t="s">
        <v>539</v>
      </c>
      <c r="G106" s="57" t="s">
        <v>717</v>
      </c>
      <c r="H106" s="22">
        <v>1</v>
      </c>
      <c r="I106" s="23">
        <v>1.0999999999999999</v>
      </c>
      <c r="J106" s="23">
        <v>1.2333333333333334</v>
      </c>
      <c r="K106" s="57">
        <v>1.3333333333333333</v>
      </c>
      <c r="L106" s="44"/>
      <c r="M106" s="32"/>
      <c r="N106" s="32"/>
      <c r="O106" s="45"/>
      <c r="P106" s="22"/>
      <c r="Q106" s="23"/>
      <c r="R106" s="23"/>
      <c r="S106" s="57"/>
      <c r="T106" s="53">
        <v>20</v>
      </c>
      <c r="U106" s="25"/>
      <c r="V106" s="63">
        <v>10.755555555555556</v>
      </c>
      <c r="W106" s="63">
        <v>10.755555555555556</v>
      </c>
      <c r="X106" s="63">
        <v>9.68</v>
      </c>
      <c r="Y106" s="63">
        <v>9.68</v>
      </c>
      <c r="Z106" s="514">
        <f>JRC_Data!$BL$18/1000*($U$288/$U$285)</f>
        <v>0.16133333333333333</v>
      </c>
      <c r="AA106" s="66"/>
      <c r="AB106" s="44"/>
      <c r="AC106" s="72"/>
      <c r="AD106" s="72"/>
      <c r="AE106" s="72"/>
      <c r="AF106" s="72"/>
      <c r="AG106" s="66"/>
      <c r="AH106" s="63">
        <v>0.63072000000000006</v>
      </c>
      <c r="AI106" s="66"/>
      <c r="AJ106" s="66">
        <v>2019</v>
      </c>
      <c r="AK106" s="520">
        <v>20</v>
      </c>
      <c r="AM106" s="100"/>
      <c r="AN106" s="205" t="str">
        <f>C101</f>
        <v>R-SH_Att_ELC_N1</v>
      </c>
      <c r="AO106" s="205" t="str">
        <f>D101</f>
        <v>Residential Electric Heater - New 1 SH</v>
      </c>
      <c r="AP106" s="100" t="s">
        <v>13</v>
      </c>
      <c r="AQ106" s="116" t="s">
        <v>119</v>
      </c>
      <c r="AR106" s="100"/>
      <c r="AT106" s="100" t="s">
        <v>75</v>
      </c>
    </row>
    <row r="107" spans="3:46" ht="12" customHeight="1" thickBot="1" x14ac:dyDescent="0.3">
      <c r="C107" s="521" t="str">
        <f>"R-SH_Att"&amp;"_"&amp;RIGHT(E107,3)&amp;"_HPN2-ABD"</f>
        <v>R-SH_Att_ELC_HPN2-ABD</v>
      </c>
      <c r="D107" s="29" t="s">
        <v>760</v>
      </c>
      <c r="E107" s="30" t="s">
        <v>144</v>
      </c>
      <c r="F107" s="30" t="s">
        <v>539</v>
      </c>
      <c r="G107" s="58" t="s">
        <v>718</v>
      </c>
      <c r="H107" s="40">
        <v>1</v>
      </c>
      <c r="I107" s="29">
        <v>1.0999999999999999</v>
      </c>
      <c r="J107" s="29">
        <v>1.2333333333333334</v>
      </c>
      <c r="K107" s="58">
        <v>1.3333333333333333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v>10.755555555555556</v>
      </c>
      <c r="W107" s="62">
        <v>10.755555555555556</v>
      </c>
      <c r="X107" s="62">
        <v>9.68</v>
      </c>
      <c r="Y107" s="62">
        <v>9.68</v>
      </c>
      <c r="Z107" s="514">
        <f>JRC_Data!$BL$18/1000*($U$288/$U$285)</f>
        <v>0.16133333333333333</v>
      </c>
      <c r="AA107" s="65"/>
      <c r="AB107" s="42"/>
      <c r="AC107" s="71"/>
      <c r="AD107" s="71"/>
      <c r="AE107" s="71"/>
      <c r="AF107" s="71"/>
      <c r="AG107" s="209"/>
      <c r="AH107" s="62">
        <v>0.63072000000000006</v>
      </c>
      <c r="AI107" s="65"/>
      <c r="AJ107" s="65">
        <v>2019</v>
      </c>
      <c r="AK107" s="522">
        <v>20</v>
      </c>
      <c r="AM107" s="100"/>
      <c r="AN107" s="205" t="str">
        <f t="shared" ref="AN107:AO109" si="89">C103</f>
        <v>R-SH_Att_ELC_HPN1</v>
      </c>
      <c r="AO107" s="205" t="str">
        <f t="shared" si="89"/>
        <v>Residential Electric Heat Pump - Air to Air - SH</v>
      </c>
      <c r="AP107" s="100" t="s">
        <v>13</v>
      </c>
      <c r="AQ107" s="116" t="s">
        <v>119</v>
      </c>
      <c r="AR107" s="100" t="s">
        <v>684</v>
      </c>
      <c r="AT107" s="100" t="s">
        <v>75</v>
      </c>
    </row>
    <row r="108" spans="3:46" ht="12" customHeight="1" thickBot="1" x14ac:dyDescent="0.3">
      <c r="C108" s="519" t="str">
        <f>"R-SH_Att"&amp;"_"&amp;RIGHT(E108,3)&amp;"_HPN2-ABE"</f>
        <v>R-SH_Att_ELC_HPN2-ABE</v>
      </c>
      <c r="D108" s="23" t="s">
        <v>761</v>
      </c>
      <c r="E108" s="24" t="s">
        <v>144</v>
      </c>
      <c r="F108" s="24" t="s">
        <v>539</v>
      </c>
      <c r="G108" s="57" t="s">
        <v>719</v>
      </c>
      <c r="H108" s="22">
        <v>1</v>
      </c>
      <c r="I108" s="23">
        <v>1.0999999999999999</v>
      </c>
      <c r="J108" s="23">
        <v>1.2333333333333334</v>
      </c>
      <c r="K108" s="57">
        <v>1.3333333333333333</v>
      </c>
      <c r="L108" s="44"/>
      <c r="M108" s="32"/>
      <c r="N108" s="32"/>
      <c r="O108" s="45"/>
      <c r="P108" s="22"/>
      <c r="Q108" s="23"/>
      <c r="R108" s="23"/>
      <c r="S108" s="57"/>
      <c r="T108" s="53">
        <v>20</v>
      </c>
      <c r="U108" s="25"/>
      <c r="V108" s="63">
        <v>10.755555555555556</v>
      </c>
      <c r="W108" s="63">
        <v>10.755555555555556</v>
      </c>
      <c r="X108" s="63">
        <v>9.68</v>
      </c>
      <c r="Y108" s="63">
        <v>9.68</v>
      </c>
      <c r="Z108" s="514">
        <f>JRC_Data!$BL$18/1000*($U$288/$U$285)</f>
        <v>0.16133333333333333</v>
      </c>
      <c r="AA108" s="66"/>
      <c r="AB108" s="44"/>
      <c r="AC108" s="72"/>
      <c r="AD108" s="72"/>
      <c r="AE108" s="72"/>
      <c r="AF108" s="72"/>
      <c r="AG108" s="66"/>
      <c r="AH108" s="63">
        <v>0.63072000000000006</v>
      </c>
      <c r="AI108" s="66"/>
      <c r="AJ108" s="66">
        <v>2019</v>
      </c>
      <c r="AK108" s="520">
        <v>20</v>
      </c>
      <c r="AM108" s="100"/>
      <c r="AN108" s="205" t="str">
        <f t="shared" si="89"/>
        <v>R-HC_Att_ELC_HPN1</v>
      </c>
      <c r="AO108" s="205" t="str">
        <f t="shared" si="89"/>
        <v>Residential Electric Heat Pump - Air to Air - SH + SC</v>
      </c>
      <c r="AP108" s="100" t="s">
        <v>13</v>
      </c>
      <c r="AQ108" s="116" t="s">
        <v>119</v>
      </c>
      <c r="AR108" s="100" t="s">
        <v>684</v>
      </c>
      <c r="AT108" s="100" t="s">
        <v>75</v>
      </c>
    </row>
    <row r="109" spans="3:46" ht="12" customHeight="1" thickBot="1" x14ac:dyDescent="0.3">
      <c r="C109" s="521" t="str">
        <f>"R-SH_Att"&amp;"_"&amp;RIGHT(E109,3)&amp;"_HPN2-ABF"</f>
        <v>R-SH_Att_ELC_HPN2-ABF</v>
      </c>
      <c r="D109" s="29" t="s">
        <v>782</v>
      </c>
      <c r="E109" s="30" t="s">
        <v>144</v>
      </c>
      <c r="F109" s="30" t="s">
        <v>539</v>
      </c>
      <c r="G109" s="58" t="s">
        <v>720</v>
      </c>
      <c r="H109" s="40">
        <v>1</v>
      </c>
      <c r="I109" s="29">
        <v>1.0999999999999999</v>
      </c>
      <c r="J109" s="29">
        <v>1.2333333333333334</v>
      </c>
      <c r="K109" s="58">
        <v>1.3333333333333333</v>
      </c>
      <c r="L109" s="42"/>
      <c r="M109" s="31"/>
      <c r="N109" s="31"/>
      <c r="O109" s="43"/>
      <c r="P109" s="40"/>
      <c r="Q109" s="29"/>
      <c r="R109" s="29"/>
      <c r="S109" s="58"/>
      <c r="T109" s="54">
        <v>20</v>
      </c>
      <c r="U109" s="41"/>
      <c r="V109" s="62">
        <v>10.755555555555556</v>
      </c>
      <c r="W109" s="62">
        <v>10.755555555555556</v>
      </c>
      <c r="X109" s="62">
        <v>9.68</v>
      </c>
      <c r="Y109" s="62">
        <v>9.68</v>
      </c>
      <c r="Z109" s="514">
        <f>JRC_Data!$BL$18/1000*($U$288/$U$285)</f>
        <v>0.16133333333333333</v>
      </c>
      <c r="AA109" s="65"/>
      <c r="AB109" s="42"/>
      <c r="AC109" s="71"/>
      <c r="AD109" s="71"/>
      <c r="AE109" s="71"/>
      <c r="AF109" s="71"/>
      <c r="AG109" s="209"/>
      <c r="AH109" s="62">
        <v>0.63072000000000006</v>
      </c>
      <c r="AI109" s="65"/>
      <c r="AJ109" s="65">
        <v>2019</v>
      </c>
      <c r="AK109" s="522">
        <v>20</v>
      </c>
      <c r="AM109" s="100"/>
      <c r="AN109" s="205" t="str">
        <f t="shared" si="89"/>
        <v>R-SH_Att_ELC_HPN2-AB</v>
      </c>
      <c r="AO109" s="205" t="str">
        <f t="shared" si="89"/>
        <v>Residential Electric Heat Pump AB - Air to Water - SH - AB rated dwelling</v>
      </c>
      <c r="AP109" s="100" t="s">
        <v>13</v>
      </c>
      <c r="AQ109" s="116" t="s">
        <v>119</v>
      </c>
      <c r="AR109" s="100" t="s">
        <v>684</v>
      </c>
      <c r="AT109" s="100" t="s">
        <v>75</v>
      </c>
    </row>
    <row r="110" spans="3:46" ht="12" customHeight="1" thickBot="1" x14ac:dyDescent="0.3">
      <c r="C110" s="519" t="str">
        <f>"R-SH_Att"&amp;"_"&amp;RIGHT(E110,3)&amp;"_HPN2-ABG"</f>
        <v>R-SH_Att_ELC_HPN2-ABG</v>
      </c>
      <c r="D110" s="23" t="s">
        <v>763</v>
      </c>
      <c r="E110" s="24" t="s">
        <v>144</v>
      </c>
      <c r="F110" s="24" t="s">
        <v>539</v>
      </c>
      <c r="G110" s="57" t="s">
        <v>721</v>
      </c>
      <c r="H110" s="22">
        <v>1</v>
      </c>
      <c r="I110" s="23">
        <v>1.0999999999999999</v>
      </c>
      <c r="J110" s="23">
        <v>1.2333333333333334</v>
      </c>
      <c r="K110" s="57">
        <v>1.3333333333333333</v>
      </c>
      <c r="L110" s="44"/>
      <c r="M110" s="32"/>
      <c r="N110" s="32"/>
      <c r="O110" s="45"/>
      <c r="P110" s="22"/>
      <c r="Q110" s="23"/>
      <c r="R110" s="23"/>
      <c r="S110" s="57"/>
      <c r="T110" s="53">
        <v>20</v>
      </c>
      <c r="U110" s="25"/>
      <c r="V110" s="63">
        <v>10.755555555555556</v>
      </c>
      <c r="W110" s="63">
        <v>10.755555555555556</v>
      </c>
      <c r="X110" s="63">
        <v>9.68</v>
      </c>
      <c r="Y110" s="63">
        <v>9.68</v>
      </c>
      <c r="Z110" s="514">
        <f>JRC_Data!$BL$18/1000*($U$288/$U$285)</f>
        <v>0.16133333333333333</v>
      </c>
      <c r="AA110" s="66"/>
      <c r="AB110" s="44"/>
      <c r="AC110" s="72"/>
      <c r="AD110" s="72"/>
      <c r="AE110" s="72"/>
      <c r="AF110" s="72"/>
      <c r="AG110" s="66"/>
      <c r="AH110" s="63">
        <v>0.63072000000000006</v>
      </c>
      <c r="AI110" s="66"/>
      <c r="AJ110" s="66">
        <v>2019</v>
      </c>
      <c r="AK110" s="520">
        <v>20</v>
      </c>
      <c r="AM110" s="100"/>
      <c r="AN110" s="205" t="str">
        <f t="shared" ref="AN110:AO110" si="90">C106</f>
        <v>R-SH_Att_ELC_HPN2-ABC</v>
      </c>
      <c r="AO110" s="205" t="str">
        <f t="shared" si="90"/>
        <v>Residential Electric Heat Pump AB - Air to Water - SH - C rated dwelling</v>
      </c>
      <c r="AP110" s="100" t="s">
        <v>13</v>
      </c>
      <c r="AQ110" s="116" t="s">
        <v>119</v>
      </c>
      <c r="AR110" s="100" t="s">
        <v>684</v>
      </c>
      <c r="AS110" s="4"/>
      <c r="AT110" s="100" t="s">
        <v>75</v>
      </c>
    </row>
    <row r="111" spans="3:46" ht="12" customHeight="1" thickBot="1" x14ac:dyDescent="0.3">
      <c r="C111" s="521" t="str">
        <f>"R-SH_Att"&amp;"_"&amp;RIGHT(E111,3)&amp;"_HPN2-C"</f>
        <v>R-SH_Att_ELC_HPN2-C</v>
      </c>
      <c r="D111" s="29" t="s">
        <v>608</v>
      </c>
      <c r="E111" s="30" t="s">
        <v>144</v>
      </c>
      <c r="F111" s="30" t="s">
        <v>539</v>
      </c>
      <c r="G111" s="58" t="s">
        <v>717</v>
      </c>
      <c r="H111" s="40">
        <f>$H$105*AL310</f>
        <v>0.92642642642642636</v>
      </c>
      <c r="I111" s="29">
        <f>(JRC_Data!$AD$18/JRC_Data!$AC$16)*AL310</f>
        <v>1.0190690690690689</v>
      </c>
      <c r="J111" s="29">
        <f>(JRC_Data!$AE$18/JRC_Data!$AC$16)*AL310</f>
        <v>1.1425925925925926</v>
      </c>
      <c r="K111" s="58">
        <f>(JRC_Data!$AF$18/JRC_Data!$AC$16)*AL310</f>
        <v>1.2352352352352352</v>
      </c>
      <c r="L111" s="42"/>
      <c r="M111" s="31"/>
      <c r="N111" s="31"/>
      <c r="O111" s="43"/>
      <c r="P111" s="40"/>
      <c r="Q111" s="29"/>
      <c r="R111" s="29"/>
      <c r="S111" s="58"/>
      <c r="T111" s="54">
        <v>20</v>
      </c>
      <c r="U111" s="41"/>
      <c r="V111" s="62">
        <f>V26/$V$20*$V$105</f>
        <v>11.339617450070326</v>
      </c>
      <c r="W111" s="62">
        <f t="shared" ref="V111:Y115" si="91">W26/$V$20*$V$105</f>
        <v>11.339617450070326</v>
      </c>
      <c r="X111" s="62">
        <f t="shared" si="91"/>
        <v>10.26406189451477</v>
      </c>
      <c r="Y111" s="62">
        <f t="shared" si="91"/>
        <v>10.26406189451477</v>
      </c>
      <c r="Z111" s="514">
        <f>JRC_Data!$BL$18/1000*($U$288/$U$285)</f>
        <v>0.16133333333333333</v>
      </c>
      <c r="AA111" s="65"/>
      <c r="AB111" s="42"/>
      <c r="AC111" s="71"/>
      <c r="AD111" s="71"/>
      <c r="AE111" s="71"/>
      <c r="AF111" s="71"/>
      <c r="AG111" s="209"/>
      <c r="AH111" s="62">
        <f t="shared" si="67"/>
        <v>0.63072000000000006</v>
      </c>
      <c r="AI111" s="65"/>
      <c r="AJ111" s="24">
        <f>IF($A$2="No",2100,2019)</f>
        <v>2100</v>
      </c>
      <c r="AK111" s="522">
        <v>20</v>
      </c>
      <c r="AM111" s="100"/>
      <c r="AN111" s="205" t="str">
        <f t="shared" ref="AN111:AO111" si="92">C107</f>
        <v>R-SH_Att_ELC_HPN2-ABD</v>
      </c>
      <c r="AO111" s="205" t="str">
        <f t="shared" si="92"/>
        <v>Residential Electric Heat Pump AB - Air to Water - SH - D rated dwelling</v>
      </c>
      <c r="AP111" s="100" t="s">
        <v>13</v>
      </c>
      <c r="AQ111" s="116" t="s">
        <v>119</v>
      </c>
      <c r="AR111" s="100" t="s">
        <v>684</v>
      </c>
      <c r="AS111" s="4"/>
      <c r="AT111" s="100" t="s">
        <v>75</v>
      </c>
    </row>
    <row r="112" spans="3:46" ht="12" customHeight="1" thickBot="1" x14ac:dyDescent="0.3">
      <c r="C112" s="519" t="str">
        <f>"R-SH_Att"&amp;"_"&amp;RIGHT(E112,3)&amp;"_HPN2-D"</f>
        <v>R-SH_Att_ELC_HPN2-D</v>
      </c>
      <c r="D112" s="23" t="s">
        <v>642</v>
      </c>
      <c r="E112" s="24" t="s">
        <v>144</v>
      </c>
      <c r="F112" s="24" t="s">
        <v>539</v>
      </c>
      <c r="G112" s="57" t="s">
        <v>718</v>
      </c>
      <c r="H112" s="22">
        <f>$H$105*AL311</f>
        <v>0.85285285285285284</v>
      </c>
      <c r="I112" s="23">
        <f>(JRC_Data!$AD$18/JRC_Data!$AC$16)*AL311</f>
        <v>0.93813813813813796</v>
      </c>
      <c r="J112" s="23">
        <f>(JRC_Data!$AE$18/JRC_Data!$AC$16)*AL311</f>
        <v>1.0518518518518518</v>
      </c>
      <c r="K112" s="57">
        <f>(JRC_Data!$AF$18/JRC_Data!$AC$16)*AL311</f>
        <v>1.137137137137137</v>
      </c>
      <c r="L112" s="44"/>
      <c r="M112" s="32"/>
      <c r="N112" s="32"/>
      <c r="O112" s="45"/>
      <c r="P112" s="22"/>
      <c r="Q112" s="23"/>
      <c r="R112" s="23"/>
      <c r="S112" s="57"/>
      <c r="T112" s="53">
        <v>20</v>
      </c>
      <c r="U112" s="25"/>
      <c r="V112" s="63">
        <f t="shared" si="91"/>
        <v>11.923679344585093</v>
      </c>
      <c r="W112" s="63">
        <f t="shared" si="91"/>
        <v>11.923679344585093</v>
      </c>
      <c r="X112" s="63">
        <f t="shared" si="91"/>
        <v>10.848123789029536</v>
      </c>
      <c r="Y112" s="63">
        <f t="shared" si="91"/>
        <v>10.848123789029536</v>
      </c>
      <c r="Z112" s="514">
        <f>JRC_Data!$BL$18/1000*($U$288/$U$285)</f>
        <v>0.16133333333333333</v>
      </c>
      <c r="AA112" s="66"/>
      <c r="AB112" s="44"/>
      <c r="AC112" s="72"/>
      <c r="AD112" s="72"/>
      <c r="AE112" s="72"/>
      <c r="AF112" s="72"/>
      <c r="AG112" s="66"/>
      <c r="AH112" s="63">
        <f t="shared" si="67"/>
        <v>0.63072000000000006</v>
      </c>
      <c r="AI112" s="66"/>
      <c r="AJ112" s="24">
        <f t="shared" ref="AJ112:AJ115" si="93">IF($A$2="No",2100,2019)</f>
        <v>2100</v>
      </c>
      <c r="AK112" s="520">
        <v>20</v>
      </c>
      <c r="AM112" s="100"/>
      <c r="AN112" s="205" t="str">
        <f t="shared" ref="AN112:AO112" si="94">C108</f>
        <v>R-SH_Att_ELC_HPN2-ABE</v>
      </c>
      <c r="AO112" s="205" t="str">
        <f t="shared" si="94"/>
        <v>Residential Electric Heat Pump AB - Air to Water - SH - E rated dwelling</v>
      </c>
      <c r="AP112" s="100" t="s">
        <v>13</v>
      </c>
      <c r="AQ112" s="116" t="s">
        <v>119</v>
      </c>
      <c r="AR112" s="100" t="s">
        <v>684</v>
      </c>
      <c r="AS112" s="4"/>
      <c r="AT112" s="100" t="s">
        <v>75</v>
      </c>
    </row>
    <row r="113" spans="3:47" ht="12" customHeight="1" thickBot="1" x14ac:dyDescent="0.3">
      <c r="C113" s="519" t="str">
        <f>"R-SH_Att"&amp;"_"&amp;RIGHT(E113,3)&amp;"_HPN2-E"</f>
        <v>R-SH_Att_ELC_HPN2-E</v>
      </c>
      <c r="D113" s="23" t="s">
        <v>610</v>
      </c>
      <c r="E113" s="24" t="s">
        <v>144</v>
      </c>
      <c r="F113" s="24" t="s">
        <v>539</v>
      </c>
      <c r="G113" s="57" t="s">
        <v>719</v>
      </c>
      <c r="H113" s="22">
        <f>$H$105*AL312</f>
        <v>0.80380380380380378</v>
      </c>
      <c r="I113" s="23">
        <f>(JRC_Data!$AD$18/JRC_Data!$AC$16)*AL312</f>
        <v>0.8841841841841841</v>
      </c>
      <c r="J113" s="23">
        <f>(JRC_Data!$AE$18/JRC_Data!$AC$16)*AL312</f>
        <v>0.99135802469135803</v>
      </c>
      <c r="K113" s="57">
        <f>(JRC_Data!$AF$18/JRC_Data!$AC$16)*AL312</f>
        <v>1.0717384050717382</v>
      </c>
      <c r="L113" s="44"/>
      <c r="M113" s="32"/>
      <c r="N113" s="32"/>
      <c r="O113" s="45"/>
      <c r="P113" s="22"/>
      <c r="Q113" s="23"/>
      <c r="R113" s="23"/>
      <c r="S113" s="57"/>
      <c r="T113" s="53">
        <v>20</v>
      </c>
      <c r="U113" s="25"/>
      <c r="V113" s="63">
        <f t="shared" si="91"/>
        <v>12.525440084388189</v>
      </c>
      <c r="W113" s="63">
        <f t="shared" si="91"/>
        <v>12.525440084388189</v>
      </c>
      <c r="X113" s="63">
        <f t="shared" si="91"/>
        <v>11.449884528832632</v>
      </c>
      <c r="Y113" s="63">
        <f t="shared" si="91"/>
        <v>11.449884528832632</v>
      </c>
      <c r="Z113" s="514">
        <f>JRC_Data!$BL$18/1000*($U$288/$U$285)</f>
        <v>0.16133333333333333</v>
      </c>
      <c r="AA113" s="66"/>
      <c r="AB113" s="44"/>
      <c r="AC113" s="72"/>
      <c r="AD113" s="72"/>
      <c r="AE113" s="72"/>
      <c r="AF113" s="72"/>
      <c r="AG113" s="66"/>
      <c r="AH113" s="63">
        <f t="shared" si="67"/>
        <v>0.63072000000000006</v>
      </c>
      <c r="AI113" s="66"/>
      <c r="AJ113" s="24">
        <f t="shared" si="93"/>
        <v>2100</v>
      </c>
      <c r="AK113" s="520">
        <v>20</v>
      </c>
      <c r="AM113" s="100"/>
      <c r="AN113" s="205" t="str">
        <f t="shared" ref="AN113:AO113" si="95">C109</f>
        <v>R-SH_Att_ELC_HPN2-ABF</v>
      </c>
      <c r="AO113" s="205" t="str">
        <f t="shared" si="95"/>
        <v>Residential Electric Heat Pump AB - Air to Water - SH - F rated dwelling</v>
      </c>
      <c r="AP113" s="100" t="s">
        <v>13</v>
      </c>
      <c r="AQ113" s="116" t="s">
        <v>119</v>
      </c>
      <c r="AR113" s="100" t="s">
        <v>684</v>
      </c>
      <c r="AS113" s="4"/>
      <c r="AT113" s="100" t="s">
        <v>75</v>
      </c>
      <c r="AU113" s="4"/>
    </row>
    <row r="114" spans="3:47" ht="12" customHeight="1" thickBot="1" x14ac:dyDescent="0.3">
      <c r="C114" s="521" t="str">
        <f>"R-SH_Att"&amp;"_"&amp;RIGHT(E114,3)&amp;"_HPN2-F"</f>
        <v>R-SH_Att_ELC_HPN2-F</v>
      </c>
      <c r="D114" s="29" t="s">
        <v>611</v>
      </c>
      <c r="E114" s="30" t="s">
        <v>144</v>
      </c>
      <c r="F114" s="30" t="s">
        <v>539</v>
      </c>
      <c r="G114" s="58" t="s">
        <v>720</v>
      </c>
      <c r="H114" s="40">
        <f>$H$105*AL313</f>
        <v>0.75475475475475473</v>
      </c>
      <c r="I114" s="29">
        <f>(JRC_Data!$AD$18/JRC_Data!$AC$16)*AL313</f>
        <v>0.83023023023023013</v>
      </c>
      <c r="J114" s="29">
        <f>(JRC_Data!$AE$18/JRC_Data!$AC$16)*AL313</f>
        <v>0.93086419753086425</v>
      </c>
      <c r="K114" s="58">
        <f>(JRC_Data!$AF$18/JRC_Data!$AC$16)*AL313</f>
        <v>1.0063396730063396</v>
      </c>
      <c r="L114" s="42"/>
      <c r="M114" s="31"/>
      <c r="N114" s="31"/>
      <c r="O114" s="43"/>
      <c r="P114" s="40"/>
      <c r="Q114" s="29"/>
      <c r="R114" s="29"/>
      <c r="S114" s="58"/>
      <c r="T114" s="54">
        <v>20</v>
      </c>
      <c r="U114" s="41"/>
      <c r="V114" s="62">
        <f t="shared" si="91"/>
        <v>12.710879817158933</v>
      </c>
      <c r="W114" s="62">
        <f t="shared" si="91"/>
        <v>12.710879817158933</v>
      </c>
      <c r="X114" s="62">
        <f t="shared" si="91"/>
        <v>11.635324261603376</v>
      </c>
      <c r="Y114" s="62">
        <f t="shared" si="91"/>
        <v>11.635324261603376</v>
      </c>
      <c r="Z114" s="514">
        <f>JRC_Data!$BL$18/1000*($U$288/$U$285)</f>
        <v>0.16133333333333333</v>
      </c>
      <c r="AA114" s="65"/>
      <c r="AB114" s="42"/>
      <c r="AC114" s="71"/>
      <c r="AD114" s="71"/>
      <c r="AE114" s="71"/>
      <c r="AF114" s="71"/>
      <c r="AG114" s="209"/>
      <c r="AH114" s="62">
        <f t="shared" si="67"/>
        <v>0.63072000000000006</v>
      </c>
      <c r="AI114" s="65"/>
      <c r="AJ114" s="24">
        <f t="shared" si="93"/>
        <v>2100</v>
      </c>
      <c r="AK114" s="522">
        <v>20</v>
      </c>
      <c r="AM114" s="100"/>
      <c r="AN114" s="205" t="str">
        <f t="shared" ref="AN114:AO114" si="96">C110</f>
        <v>R-SH_Att_ELC_HPN2-ABG</v>
      </c>
      <c r="AO114" s="205" t="str">
        <f t="shared" si="96"/>
        <v>Residential Electric Heat Pump AB - Air to Water - SH - G rated dwelling</v>
      </c>
      <c r="AP114" s="100" t="s">
        <v>13</v>
      </c>
      <c r="AQ114" s="116" t="s">
        <v>119</v>
      </c>
      <c r="AR114" s="100" t="s">
        <v>684</v>
      </c>
      <c r="AS114" s="4"/>
      <c r="AT114" s="100" t="s">
        <v>75</v>
      </c>
      <c r="AU114" s="4"/>
    </row>
    <row r="115" spans="3:47" ht="12" customHeight="1" thickBot="1" x14ac:dyDescent="0.3">
      <c r="C115" s="523" t="str">
        <f>"R-SH_Att"&amp;"_"&amp;RIGHT(E115,3)&amp;"_HPN2-G"</f>
        <v>R-SH_Att_ELC_HPN2-G</v>
      </c>
      <c r="D115" s="526" t="s">
        <v>627</v>
      </c>
      <c r="E115" s="524" t="s">
        <v>144</v>
      </c>
      <c r="F115" s="524" t="s">
        <v>539</v>
      </c>
      <c r="G115" s="527" t="s">
        <v>721</v>
      </c>
      <c r="H115" s="525">
        <f>$H$105*AL314</f>
        <v>0.70570570570570568</v>
      </c>
      <c r="I115" s="526">
        <f>(JRC_Data!$AD$18/JRC_Data!$AC$16)*AL314</f>
        <v>0.77627627627627616</v>
      </c>
      <c r="J115" s="526">
        <f>(JRC_Data!$AE$18/JRC_Data!$AC$16)*AL314</f>
        <v>0.87037037037037035</v>
      </c>
      <c r="K115" s="527">
        <f>(JRC_Data!$AF$18/JRC_Data!$AC$16)*AL314</f>
        <v>0.94094094094094083</v>
      </c>
      <c r="L115" s="578"/>
      <c r="M115" s="542"/>
      <c r="N115" s="542"/>
      <c r="O115" s="579"/>
      <c r="P115" s="525"/>
      <c r="Q115" s="526"/>
      <c r="R115" s="526"/>
      <c r="S115" s="527"/>
      <c r="T115" s="580">
        <v>20</v>
      </c>
      <c r="U115" s="581"/>
      <c r="V115" s="528">
        <f t="shared" si="91"/>
        <v>12.896319549929679</v>
      </c>
      <c r="W115" s="528">
        <f t="shared" si="91"/>
        <v>12.896319549929679</v>
      </c>
      <c r="X115" s="528">
        <f t="shared" si="91"/>
        <v>11.820763994374122</v>
      </c>
      <c r="Y115" s="528">
        <f t="shared" si="91"/>
        <v>11.820763994374122</v>
      </c>
      <c r="Z115" s="514">
        <f>JRC_Data!$BL$18/1000*($U$288/$U$285)</f>
        <v>0.16133333333333333</v>
      </c>
      <c r="AA115" s="529"/>
      <c r="AB115" s="578"/>
      <c r="AC115" s="530"/>
      <c r="AD115" s="530"/>
      <c r="AE115" s="530"/>
      <c r="AF115" s="530"/>
      <c r="AG115" s="529"/>
      <c r="AH115" s="528">
        <f t="shared" si="67"/>
        <v>0.63072000000000006</v>
      </c>
      <c r="AI115" s="529"/>
      <c r="AJ115" s="24">
        <f t="shared" si="93"/>
        <v>2100</v>
      </c>
      <c r="AK115" s="531">
        <v>20</v>
      </c>
      <c r="AM115" s="100"/>
      <c r="AN115" s="205" t="str">
        <f t="shared" ref="AN115:AO120" si="97">C111</f>
        <v>R-SH_Att_ELC_HPN2-C</v>
      </c>
      <c r="AO115" s="205" t="str">
        <f t="shared" si="97"/>
        <v>Residential Electric Heat Pump - Air to Water - SH - C rated dwelling</v>
      </c>
      <c r="AP115" s="100" t="s">
        <v>13</v>
      </c>
      <c r="AQ115" s="116" t="s">
        <v>119</v>
      </c>
      <c r="AR115" s="100" t="s">
        <v>684</v>
      </c>
      <c r="AT115" s="100" t="s">
        <v>75</v>
      </c>
      <c r="AU115" s="4"/>
    </row>
    <row r="116" spans="3:47" ht="12" customHeight="1" thickBot="1" x14ac:dyDescent="0.3">
      <c r="C116" s="510" t="str">
        <f>"R-SW_Att"&amp;"_"&amp;RIGHT(E116,3)&amp;"_HPN1-AB"</f>
        <v>R-SW_Att_ELC_HPN1-AB</v>
      </c>
      <c r="D116" s="513" t="s">
        <v>746</v>
      </c>
      <c r="E116" s="511" t="s">
        <v>144</v>
      </c>
      <c r="F116" s="511" t="s">
        <v>565</v>
      </c>
      <c r="G116" s="514" t="s">
        <v>766</v>
      </c>
      <c r="H116" s="512">
        <v>1</v>
      </c>
      <c r="I116" s="513">
        <f>JRC_Data!AD18/JRC_Data!$AC$16</f>
        <v>1.0999999999999999</v>
      </c>
      <c r="J116" s="513">
        <f>JRC_Data!AE18/JRC_Data!$AC$16</f>
        <v>1.2333333333333334</v>
      </c>
      <c r="K116" s="514">
        <f>JRC_Data!AF18/JRC_Data!$AC$16</f>
        <v>1.3333333333333333</v>
      </c>
      <c r="L116" s="573"/>
      <c r="M116" s="539"/>
      <c r="N116" s="539"/>
      <c r="O116" s="574"/>
      <c r="P116" s="512">
        <f>H116*0.7</f>
        <v>0.7</v>
      </c>
      <c r="Q116" s="513">
        <f t="shared" ref="Q116:Q137" si="98">I116*0.7</f>
        <v>0.76999999999999991</v>
      </c>
      <c r="R116" s="513">
        <f t="shared" ref="R116:R137" si="99">J116*0.7</f>
        <v>0.86333333333333329</v>
      </c>
      <c r="S116" s="514">
        <f t="shared" ref="S116:S137" si="100">K116*0.7</f>
        <v>0.93333333333333324</v>
      </c>
      <c r="T116" s="575">
        <v>20</v>
      </c>
      <c r="U116" s="576"/>
      <c r="V116" s="515">
        <f>V105*($U$289/$U$288)</f>
        <v>10.888888888888891</v>
      </c>
      <c r="W116" s="515">
        <f t="shared" ref="W116:Y116" si="101">W105*($U$289/$U$288)</f>
        <v>10.888888888888891</v>
      </c>
      <c r="X116" s="515">
        <f t="shared" si="101"/>
        <v>9.8000000000000007</v>
      </c>
      <c r="Y116" s="515">
        <f t="shared" si="101"/>
        <v>9.8000000000000007</v>
      </c>
      <c r="Z116" s="514">
        <f>JRC_Data!$BL$18/1000*($U$289/$U$285)</f>
        <v>0.1633333333333333</v>
      </c>
      <c r="AA116" s="516"/>
      <c r="AB116" s="573"/>
      <c r="AC116" s="517"/>
      <c r="AD116" s="517"/>
      <c r="AE116" s="517"/>
      <c r="AF116" s="517"/>
      <c r="AG116" s="577"/>
      <c r="AH116" s="515">
        <f t="shared" si="67"/>
        <v>0.7884000000000001</v>
      </c>
      <c r="AI116" s="516"/>
      <c r="AJ116" s="516">
        <v>2019</v>
      </c>
      <c r="AK116" s="518">
        <v>25</v>
      </c>
      <c r="AM116" s="100"/>
      <c r="AN116" s="205" t="str">
        <f t="shared" si="97"/>
        <v>R-SH_Att_ELC_HPN2-D</v>
      </c>
      <c r="AO116" s="205" t="str">
        <f t="shared" si="97"/>
        <v>Residential Electric Heat Pump - Air to Water - SH - Drated dwelling</v>
      </c>
      <c r="AP116" s="100" t="s">
        <v>13</v>
      </c>
      <c r="AQ116" s="116" t="s">
        <v>119</v>
      </c>
      <c r="AR116" s="100" t="s">
        <v>684</v>
      </c>
      <c r="AT116" s="100" t="s">
        <v>75</v>
      </c>
      <c r="AU116" s="4"/>
    </row>
    <row r="117" spans="3:47" ht="12" customHeight="1" thickBot="1" x14ac:dyDescent="0.3">
      <c r="C117" s="519" t="str">
        <f>"R-SW_Att"&amp;"_"&amp;RIGHT(E117,3)&amp;"_HPN1-ABC"</f>
        <v>R-SW_Att_ELC_HPN1-ABC</v>
      </c>
      <c r="D117" s="23" t="s">
        <v>747</v>
      </c>
      <c r="E117" s="24" t="s">
        <v>144</v>
      </c>
      <c r="F117" s="24" t="s">
        <v>565</v>
      </c>
      <c r="G117" s="57" t="s">
        <v>722</v>
      </c>
      <c r="H117" s="22">
        <v>1</v>
      </c>
      <c r="I117" s="23">
        <v>1.0999999999999999</v>
      </c>
      <c r="J117" s="23">
        <v>1.2333333333333334</v>
      </c>
      <c r="K117" s="57">
        <v>1.3333333333333333</v>
      </c>
      <c r="L117" s="44"/>
      <c r="M117" s="32"/>
      <c r="N117" s="32"/>
      <c r="O117" s="45"/>
      <c r="P117" s="22">
        <v>0.7</v>
      </c>
      <c r="Q117" s="23">
        <v>0.76999999999999991</v>
      </c>
      <c r="R117" s="23">
        <v>0.86333333333333329</v>
      </c>
      <c r="S117" s="57">
        <v>0.93333333333333324</v>
      </c>
      <c r="T117" s="53">
        <v>20</v>
      </c>
      <c r="U117" s="25"/>
      <c r="V117" s="63">
        <v>10.888888888888891</v>
      </c>
      <c r="W117" s="63">
        <v>10.888888888888891</v>
      </c>
      <c r="X117" s="63">
        <v>9.8000000000000007</v>
      </c>
      <c r="Y117" s="63">
        <v>9.8000000000000007</v>
      </c>
      <c r="Z117" s="514">
        <f>JRC_Data!$BL$18/1000*($U$289/$U$285)</f>
        <v>0.1633333333333333</v>
      </c>
      <c r="AA117" s="66"/>
      <c r="AB117" s="44"/>
      <c r="AC117" s="72"/>
      <c r="AD117" s="72"/>
      <c r="AE117" s="72"/>
      <c r="AF117" s="72"/>
      <c r="AG117" s="66"/>
      <c r="AH117" s="63">
        <f t="shared" ref="AH117:AH121" si="102">31.536*(AK117/1000)</f>
        <v>0.7884000000000001</v>
      </c>
      <c r="AI117" s="66"/>
      <c r="AJ117" s="66">
        <v>2019</v>
      </c>
      <c r="AK117" s="520">
        <v>25</v>
      </c>
      <c r="AM117" s="100"/>
      <c r="AN117" s="205" t="str">
        <f t="shared" si="97"/>
        <v>R-SH_Att_ELC_HPN2-E</v>
      </c>
      <c r="AO117" s="205" t="str">
        <f t="shared" si="97"/>
        <v>Residential Electric Heat Pump - Air to Water - SH - E rated dwelling</v>
      </c>
      <c r="AP117" s="100" t="s">
        <v>13</v>
      </c>
      <c r="AQ117" s="116" t="s">
        <v>119</v>
      </c>
      <c r="AR117" s="100" t="s">
        <v>684</v>
      </c>
      <c r="AT117" s="100" t="s">
        <v>75</v>
      </c>
    </row>
    <row r="118" spans="3:47" ht="12" customHeight="1" thickBot="1" x14ac:dyDescent="0.3">
      <c r="C118" s="521" t="str">
        <f>"R-SW_Att"&amp;"_"&amp;RIGHT(E118,3)&amp;"_HPN1-ABD"</f>
        <v>R-SW_Att_ELC_HPN1-ABD</v>
      </c>
      <c r="D118" s="29" t="s">
        <v>748</v>
      </c>
      <c r="E118" s="30" t="s">
        <v>144</v>
      </c>
      <c r="F118" s="30" t="s">
        <v>565</v>
      </c>
      <c r="G118" s="58" t="s">
        <v>723</v>
      </c>
      <c r="H118" s="40">
        <v>1</v>
      </c>
      <c r="I118" s="29">
        <v>1.0999999999999999</v>
      </c>
      <c r="J118" s="29">
        <v>1.2333333333333334</v>
      </c>
      <c r="K118" s="58">
        <v>1.3333333333333333</v>
      </c>
      <c r="L118" s="42"/>
      <c r="M118" s="31"/>
      <c r="N118" s="31"/>
      <c r="O118" s="43"/>
      <c r="P118" s="40">
        <v>0.7</v>
      </c>
      <c r="Q118" s="29">
        <v>0.76999999999999991</v>
      </c>
      <c r="R118" s="29">
        <v>0.86333333333333329</v>
      </c>
      <c r="S118" s="58">
        <v>0.93333333333333324</v>
      </c>
      <c r="T118" s="54">
        <v>20</v>
      </c>
      <c r="U118" s="41"/>
      <c r="V118" s="62">
        <v>10.888888888888891</v>
      </c>
      <c r="W118" s="62">
        <v>10.888888888888891</v>
      </c>
      <c r="X118" s="62">
        <v>9.8000000000000007</v>
      </c>
      <c r="Y118" s="62">
        <v>9.8000000000000007</v>
      </c>
      <c r="Z118" s="514">
        <f>JRC_Data!$BL$18/1000*($U$289/$U$285)</f>
        <v>0.1633333333333333</v>
      </c>
      <c r="AA118" s="65"/>
      <c r="AB118" s="42"/>
      <c r="AC118" s="71"/>
      <c r="AD118" s="71"/>
      <c r="AE118" s="71"/>
      <c r="AF118" s="71"/>
      <c r="AG118" s="209"/>
      <c r="AH118" s="62">
        <f t="shared" si="102"/>
        <v>0.7884000000000001</v>
      </c>
      <c r="AI118" s="65"/>
      <c r="AJ118" s="65">
        <v>2019</v>
      </c>
      <c r="AK118" s="522">
        <v>25</v>
      </c>
      <c r="AM118" s="100"/>
      <c r="AN118" s="205" t="str">
        <f t="shared" si="97"/>
        <v>R-SH_Att_ELC_HPN2-F</v>
      </c>
      <c r="AO118" s="205" t="str">
        <f t="shared" si="97"/>
        <v>Residential Electric Heat Pump - Air to Water - SH - F rated dwelling</v>
      </c>
      <c r="AP118" s="100" t="s">
        <v>13</v>
      </c>
      <c r="AQ118" s="116" t="s">
        <v>119</v>
      </c>
      <c r="AR118" s="100" t="s">
        <v>684</v>
      </c>
      <c r="AT118" s="100" t="s">
        <v>75</v>
      </c>
    </row>
    <row r="119" spans="3:47" ht="12" customHeight="1" thickBot="1" x14ac:dyDescent="0.3">
      <c r="C119" s="519" t="str">
        <f>"R-SW_Att"&amp;"_"&amp;RIGHT(E119,3)&amp;"_HPN1-ABE"</f>
        <v>R-SW_Att_ELC_HPN1-ABE</v>
      </c>
      <c r="D119" s="23" t="s">
        <v>749</v>
      </c>
      <c r="E119" s="24" t="s">
        <v>144</v>
      </c>
      <c r="F119" s="24" t="s">
        <v>565</v>
      </c>
      <c r="G119" s="57" t="s">
        <v>724</v>
      </c>
      <c r="H119" s="22">
        <v>1</v>
      </c>
      <c r="I119" s="23">
        <v>1.0999999999999999</v>
      </c>
      <c r="J119" s="23">
        <v>1.2333333333333334</v>
      </c>
      <c r="K119" s="57">
        <v>1.3333333333333333</v>
      </c>
      <c r="L119" s="44"/>
      <c r="M119" s="32"/>
      <c r="N119" s="32"/>
      <c r="O119" s="45"/>
      <c r="P119" s="22">
        <v>0.7</v>
      </c>
      <c r="Q119" s="23">
        <v>0.76999999999999991</v>
      </c>
      <c r="R119" s="23">
        <v>0.86333333333333329</v>
      </c>
      <c r="S119" s="57">
        <v>0.93333333333333324</v>
      </c>
      <c r="T119" s="53">
        <v>20</v>
      </c>
      <c r="U119" s="25"/>
      <c r="V119" s="63">
        <v>10.888888888888891</v>
      </c>
      <c r="W119" s="63">
        <v>10.888888888888891</v>
      </c>
      <c r="X119" s="63">
        <v>9.8000000000000007</v>
      </c>
      <c r="Y119" s="63">
        <v>9.8000000000000007</v>
      </c>
      <c r="Z119" s="514">
        <f>JRC_Data!$BL$18/1000*($U$289/$U$285)</f>
        <v>0.1633333333333333</v>
      </c>
      <c r="AA119" s="66"/>
      <c r="AB119" s="44"/>
      <c r="AC119" s="72"/>
      <c r="AD119" s="72"/>
      <c r="AE119" s="72"/>
      <c r="AF119" s="72"/>
      <c r="AG119" s="66"/>
      <c r="AH119" s="63">
        <f t="shared" si="102"/>
        <v>0.7884000000000001</v>
      </c>
      <c r="AI119" s="66"/>
      <c r="AJ119" s="66">
        <v>2019</v>
      </c>
      <c r="AK119" s="520">
        <v>25</v>
      </c>
      <c r="AM119" s="100"/>
      <c r="AN119" s="205" t="str">
        <f t="shared" si="97"/>
        <v>R-SH_Att_ELC_HPN2-G</v>
      </c>
      <c r="AO119" s="205" t="str">
        <f t="shared" si="97"/>
        <v>Residential Electric Heat Pump - Air to Water - SH - G rated dwelling</v>
      </c>
      <c r="AP119" s="100" t="s">
        <v>13</v>
      </c>
      <c r="AQ119" s="116" t="s">
        <v>119</v>
      </c>
      <c r="AR119" s="100" t="s">
        <v>684</v>
      </c>
      <c r="AT119" s="100" t="s">
        <v>75</v>
      </c>
    </row>
    <row r="120" spans="3:47" ht="12" customHeight="1" thickBot="1" x14ac:dyDescent="0.3">
      <c r="C120" s="521" t="str">
        <f>"R-SW_Att"&amp;"_"&amp;RIGHT(E120,3)&amp;"_HPN1-ABF"</f>
        <v>R-SW_Att_ELC_HPN1-ABF</v>
      </c>
      <c r="D120" s="29" t="s">
        <v>750</v>
      </c>
      <c r="E120" s="30" t="s">
        <v>144</v>
      </c>
      <c r="F120" s="30" t="s">
        <v>565</v>
      </c>
      <c r="G120" s="58" t="s">
        <v>725</v>
      </c>
      <c r="H120" s="40">
        <v>1</v>
      </c>
      <c r="I120" s="29">
        <v>1.0999999999999999</v>
      </c>
      <c r="J120" s="29">
        <v>1.2333333333333334</v>
      </c>
      <c r="K120" s="58">
        <v>1.3333333333333333</v>
      </c>
      <c r="L120" s="42"/>
      <c r="M120" s="31"/>
      <c r="N120" s="31"/>
      <c r="O120" s="43"/>
      <c r="P120" s="40">
        <v>0.7</v>
      </c>
      <c r="Q120" s="29">
        <v>0.76999999999999991</v>
      </c>
      <c r="R120" s="29">
        <v>0.86333333333333329</v>
      </c>
      <c r="S120" s="58">
        <v>0.93333333333333324</v>
      </c>
      <c r="T120" s="54">
        <v>20</v>
      </c>
      <c r="U120" s="41"/>
      <c r="V120" s="62">
        <v>10.888888888888891</v>
      </c>
      <c r="W120" s="62">
        <v>10.888888888888891</v>
      </c>
      <c r="X120" s="62">
        <v>9.8000000000000007</v>
      </c>
      <c r="Y120" s="62">
        <v>9.8000000000000007</v>
      </c>
      <c r="Z120" s="514">
        <f>JRC_Data!$BL$18/1000*($U$289/$U$285)</f>
        <v>0.1633333333333333</v>
      </c>
      <c r="AA120" s="65"/>
      <c r="AB120" s="42"/>
      <c r="AC120" s="71"/>
      <c r="AD120" s="71"/>
      <c r="AE120" s="71"/>
      <c r="AF120" s="71"/>
      <c r="AG120" s="209"/>
      <c r="AH120" s="62">
        <f t="shared" si="102"/>
        <v>0.7884000000000001</v>
      </c>
      <c r="AI120" s="65"/>
      <c r="AJ120" s="65">
        <v>2019</v>
      </c>
      <c r="AK120" s="522">
        <v>25</v>
      </c>
      <c r="AM120" s="100"/>
      <c r="AN120" s="205" t="str">
        <f t="shared" si="97"/>
        <v>R-SW_Att_ELC_HPN1-AB</v>
      </c>
      <c r="AO120" s="205" t="str">
        <f t="shared" si="97"/>
        <v>Residential Electric Heat Pump AB - Air to Water - SH + WH - AB rated dwelling</v>
      </c>
      <c r="AP120" s="100" t="s">
        <v>13</v>
      </c>
      <c r="AQ120" s="116" t="s">
        <v>119</v>
      </c>
      <c r="AR120" s="100" t="s">
        <v>684</v>
      </c>
      <c r="AT120" s="100" t="s">
        <v>75</v>
      </c>
    </row>
    <row r="121" spans="3:47" ht="12" customHeight="1" thickBot="1" x14ac:dyDescent="0.3">
      <c r="C121" s="519" t="str">
        <f>"R-SW_Att"&amp;"_"&amp;RIGHT(E121,3)&amp;"_HPN1-ABG"</f>
        <v>R-SW_Att_ELC_HPN1-ABG</v>
      </c>
      <c r="D121" s="23" t="s">
        <v>751</v>
      </c>
      <c r="E121" s="24" t="s">
        <v>144</v>
      </c>
      <c r="F121" s="24" t="s">
        <v>565</v>
      </c>
      <c r="G121" s="57" t="s">
        <v>726</v>
      </c>
      <c r="H121" s="22">
        <v>1</v>
      </c>
      <c r="I121" s="23">
        <v>1.0999999999999999</v>
      </c>
      <c r="J121" s="23">
        <v>1.2333333333333334</v>
      </c>
      <c r="K121" s="57">
        <v>1.3333333333333333</v>
      </c>
      <c r="L121" s="44"/>
      <c r="M121" s="32"/>
      <c r="N121" s="32"/>
      <c r="O121" s="45"/>
      <c r="P121" s="22">
        <v>0.7</v>
      </c>
      <c r="Q121" s="23">
        <v>0.76999999999999991</v>
      </c>
      <c r="R121" s="23">
        <v>0.86333333333333329</v>
      </c>
      <c r="S121" s="57">
        <v>0.93333333333333324</v>
      </c>
      <c r="T121" s="53">
        <v>20</v>
      </c>
      <c r="U121" s="25"/>
      <c r="V121" s="63">
        <v>10.888888888888891</v>
      </c>
      <c r="W121" s="63">
        <v>10.888888888888891</v>
      </c>
      <c r="X121" s="63">
        <v>9.8000000000000007</v>
      </c>
      <c r="Y121" s="63">
        <v>9.8000000000000007</v>
      </c>
      <c r="Z121" s="514">
        <f>JRC_Data!$BL$18/1000*($U$289/$U$285)</f>
        <v>0.1633333333333333</v>
      </c>
      <c r="AA121" s="66"/>
      <c r="AB121" s="44"/>
      <c r="AC121" s="72"/>
      <c r="AD121" s="72"/>
      <c r="AE121" s="72"/>
      <c r="AF121" s="72"/>
      <c r="AG121" s="66"/>
      <c r="AH121" s="63">
        <f t="shared" si="102"/>
        <v>0.7884000000000001</v>
      </c>
      <c r="AI121" s="66"/>
      <c r="AJ121" s="66">
        <v>2019</v>
      </c>
      <c r="AK121" s="520">
        <v>25</v>
      </c>
      <c r="AM121" s="100"/>
      <c r="AN121" s="205" t="str">
        <f t="shared" ref="AN121:AO121" si="103">C117</f>
        <v>R-SW_Att_ELC_HPN1-ABC</v>
      </c>
      <c r="AO121" s="205" t="str">
        <f t="shared" si="103"/>
        <v>Residential Electric Heat Pump AB - Air to Water - SH + WH - C rated dwelling</v>
      </c>
      <c r="AP121" s="100" t="s">
        <v>13</v>
      </c>
      <c r="AQ121" s="116" t="s">
        <v>119</v>
      </c>
      <c r="AR121" s="100" t="s">
        <v>684</v>
      </c>
      <c r="AS121" s="4"/>
      <c r="AT121" s="100" t="s">
        <v>75</v>
      </c>
    </row>
    <row r="122" spans="3:47" ht="12" customHeight="1" thickBot="1" x14ac:dyDescent="0.3">
      <c r="C122" s="521" t="str">
        <f>"R-SW_Att"&amp;"_"&amp;RIGHT(E122,3)&amp;"_HPN1-C"</f>
        <v>R-SW_Att_ELC_HPN1-C</v>
      </c>
      <c r="D122" s="29" t="s">
        <v>615</v>
      </c>
      <c r="E122" s="30" t="s">
        <v>144</v>
      </c>
      <c r="F122" s="30" t="s">
        <v>565</v>
      </c>
      <c r="G122" s="58" t="s">
        <v>722</v>
      </c>
      <c r="H122" s="40">
        <f t="shared" ref="H122:K126" si="104">H111</f>
        <v>0.92642642642642636</v>
      </c>
      <c r="I122" s="29">
        <f t="shared" si="104"/>
        <v>1.0190690690690689</v>
      </c>
      <c r="J122" s="29">
        <f t="shared" si="104"/>
        <v>1.1425925925925926</v>
      </c>
      <c r="K122" s="58">
        <f t="shared" si="104"/>
        <v>1.2352352352352352</v>
      </c>
      <c r="L122" s="42"/>
      <c r="M122" s="31"/>
      <c r="N122" s="31"/>
      <c r="O122" s="43"/>
      <c r="P122" s="40">
        <f t="shared" ref="P122:P126" si="105">H122*0.7</f>
        <v>0.64849849849849839</v>
      </c>
      <c r="Q122" s="29">
        <f t="shared" si="98"/>
        <v>0.71334834834834815</v>
      </c>
      <c r="R122" s="29">
        <f t="shared" si="99"/>
        <v>0.79981481481481476</v>
      </c>
      <c r="S122" s="58">
        <f t="shared" si="100"/>
        <v>0.86466466466466452</v>
      </c>
      <c r="T122" s="54">
        <v>20</v>
      </c>
      <c r="U122" s="41"/>
      <c r="V122" s="62">
        <f>V26/$V$20*$V$116</f>
        <v>11.480191220112522</v>
      </c>
      <c r="W122" s="62">
        <f t="shared" ref="V122:Y126" si="106">W26/$V$20*$V$116</f>
        <v>11.480191220112522</v>
      </c>
      <c r="X122" s="62">
        <f t="shared" si="106"/>
        <v>10.391302331223631</v>
      </c>
      <c r="Y122" s="62">
        <f t="shared" si="106"/>
        <v>10.391302331223631</v>
      </c>
      <c r="Z122" s="514">
        <f>JRC_Data!$BL$18/1000*($U$289/$U$285)</f>
        <v>0.1633333333333333</v>
      </c>
      <c r="AA122" s="65"/>
      <c r="AB122" s="42"/>
      <c r="AC122" s="71"/>
      <c r="AD122" s="71"/>
      <c r="AE122" s="71"/>
      <c r="AF122" s="71"/>
      <c r="AG122" s="209"/>
      <c r="AH122" s="62">
        <f>31.536*(AK122/1000)</f>
        <v>0.7884000000000001</v>
      </c>
      <c r="AI122" s="65"/>
      <c r="AJ122" s="24">
        <f>IF($A$2="No",2100,2019)</f>
        <v>2100</v>
      </c>
      <c r="AK122" s="522">
        <v>25</v>
      </c>
      <c r="AM122" s="100"/>
      <c r="AN122" s="205" t="str">
        <f t="shared" ref="AN122:AO122" si="107">C118</f>
        <v>R-SW_Att_ELC_HPN1-ABD</v>
      </c>
      <c r="AO122" s="205" t="str">
        <f t="shared" si="107"/>
        <v>Residential Electric Heat Pump AB - Air to Water - SH + WH - D rated dwelling</v>
      </c>
      <c r="AP122" s="100" t="s">
        <v>13</v>
      </c>
      <c r="AQ122" s="116" t="s">
        <v>119</v>
      </c>
      <c r="AR122" s="100" t="s">
        <v>684</v>
      </c>
      <c r="AS122" s="4"/>
      <c r="AT122" s="100" t="s">
        <v>75</v>
      </c>
    </row>
    <row r="123" spans="3:47" ht="12" customHeight="1" thickBot="1" x14ac:dyDescent="0.3">
      <c r="C123" s="519" t="str">
        <f>"R-SW_Att"&amp;"_"&amp;RIGHT(E123,3)&amp;"_HPN1-D"</f>
        <v>R-SW_Att_ELC_HPN1-D</v>
      </c>
      <c r="D123" s="23" t="s">
        <v>616</v>
      </c>
      <c r="E123" s="24" t="s">
        <v>144</v>
      </c>
      <c r="F123" s="24" t="s">
        <v>565</v>
      </c>
      <c r="G123" s="57" t="s">
        <v>723</v>
      </c>
      <c r="H123" s="22">
        <f t="shared" si="104"/>
        <v>0.85285285285285284</v>
      </c>
      <c r="I123" s="23">
        <f t="shared" si="104"/>
        <v>0.93813813813813796</v>
      </c>
      <c r="J123" s="23">
        <f t="shared" si="104"/>
        <v>1.0518518518518518</v>
      </c>
      <c r="K123" s="57">
        <f t="shared" si="104"/>
        <v>1.137137137137137</v>
      </c>
      <c r="L123" s="44"/>
      <c r="M123" s="32"/>
      <c r="N123" s="32"/>
      <c r="O123" s="45"/>
      <c r="P123" s="22">
        <f t="shared" si="105"/>
        <v>0.59699699699699693</v>
      </c>
      <c r="Q123" s="23">
        <f t="shared" si="98"/>
        <v>0.6566966966966965</v>
      </c>
      <c r="R123" s="23">
        <f t="shared" si="99"/>
        <v>0.73629629629629623</v>
      </c>
      <c r="S123" s="57">
        <f t="shared" si="100"/>
        <v>0.79599599599599591</v>
      </c>
      <c r="T123" s="53">
        <v>20</v>
      </c>
      <c r="U123" s="25"/>
      <c r="V123" s="63">
        <f t="shared" si="106"/>
        <v>12.07149355133615</v>
      </c>
      <c r="W123" s="63">
        <f t="shared" si="106"/>
        <v>12.07149355133615</v>
      </c>
      <c r="X123" s="63">
        <f t="shared" si="106"/>
        <v>10.98260466244726</v>
      </c>
      <c r="Y123" s="63">
        <f t="shared" si="106"/>
        <v>10.98260466244726</v>
      </c>
      <c r="Z123" s="514">
        <f>JRC_Data!$BL$18/1000*($U$289/$U$285)</f>
        <v>0.1633333333333333</v>
      </c>
      <c r="AA123" s="66"/>
      <c r="AB123" s="44"/>
      <c r="AC123" s="72"/>
      <c r="AD123" s="72"/>
      <c r="AE123" s="72"/>
      <c r="AF123" s="72"/>
      <c r="AG123" s="66"/>
      <c r="AH123" s="63">
        <f t="shared" si="67"/>
        <v>0.7884000000000001</v>
      </c>
      <c r="AI123" s="66"/>
      <c r="AJ123" s="24">
        <f t="shared" ref="AJ123:AJ126" si="108">IF($A$2="No",2100,2019)</f>
        <v>2100</v>
      </c>
      <c r="AK123" s="520">
        <v>25</v>
      </c>
      <c r="AM123" s="100"/>
      <c r="AN123" s="205" t="str">
        <f t="shared" ref="AN123:AO123" si="109">C119</f>
        <v>R-SW_Att_ELC_HPN1-ABE</v>
      </c>
      <c r="AO123" s="205" t="str">
        <f t="shared" si="109"/>
        <v>Residential Electric Heat Pump AB - Air to Water - SH + WH - E rated dwelling</v>
      </c>
      <c r="AP123" s="100" t="s">
        <v>13</v>
      </c>
      <c r="AQ123" s="116" t="s">
        <v>119</v>
      </c>
      <c r="AR123" s="100" t="s">
        <v>684</v>
      </c>
      <c r="AS123" s="4"/>
      <c r="AT123" s="100" t="s">
        <v>75</v>
      </c>
    </row>
    <row r="124" spans="3:47" ht="12" customHeight="1" thickBot="1" x14ac:dyDescent="0.3">
      <c r="C124" s="521" t="str">
        <f>"R-SW_Att"&amp;"_"&amp;RIGHT(E124,3)&amp;"_HPN1-E"</f>
        <v>R-SW_Att_ELC_HPN1-E</v>
      </c>
      <c r="D124" s="29" t="s">
        <v>617</v>
      </c>
      <c r="E124" s="30" t="s">
        <v>144</v>
      </c>
      <c r="F124" s="30" t="s">
        <v>565</v>
      </c>
      <c r="G124" s="58" t="s">
        <v>724</v>
      </c>
      <c r="H124" s="40">
        <f t="shared" si="104"/>
        <v>0.80380380380380378</v>
      </c>
      <c r="I124" s="29">
        <f t="shared" si="104"/>
        <v>0.8841841841841841</v>
      </c>
      <c r="J124" s="29">
        <f t="shared" si="104"/>
        <v>0.99135802469135803</v>
      </c>
      <c r="K124" s="58">
        <f t="shared" si="104"/>
        <v>1.0717384050717382</v>
      </c>
      <c r="L124" s="42"/>
      <c r="M124" s="31"/>
      <c r="N124" s="31"/>
      <c r="O124" s="43"/>
      <c r="P124" s="40">
        <f t="shared" si="105"/>
        <v>0.56266266266266263</v>
      </c>
      <c r="Q124" s="29">
        <f t="shared" si="98"/>
        <v>0.61892892892892881</v>
      </c>
      <c r="R124" s="29">
        <f t="shared" si="99"/>
        <v>0.69395061728395058</v>
      </c>
      <c r="S124" s="58">
        <f t="shared" si="100"/>
        <v>0.75021688355021676</v>
      </c>
      <c r="T124" s="54">
        <v>20</v>
      </c>
      <c r="U124" s="41"/>
      <c r="V124" s="62">
        <f t="shared" si="106"/>
        <v>12.6807141350211</v>
      </c>
      <c r="W124" s="62">
        <f t="shared" si="106"/>
        <v>12.6807141350211</v>
      </c>
      <c r="X124" s="62">
        <f t="shared" si="106"/>
        <v>11.59182524613221</v>
      </c>
      <c r="Y124" s="62">
        <f t="shared" si="106"/>
        <v>11.59182524613221</v>
      </c>
      <c r="Z124" s="514">
        <f>JRC_Data!$BL$18/1000*($U$289/$U$285)</f>
        <v>0.1633333333333333</v>
      </c>
      <c r="AA124" s="65"/>
      <c r="AB124" s="42"/>
      <c r="AC124" s="71"/>
      <c r="AD124" s="71"/>
      <c r="AE124" s="71"/>
      <c r="AF124" s="71"/>
      <c r="AG124" s="209"/>
      <c r="AH124" s="62">
        <f t="shared" si="67"/>
        <v>0.7884000000000001</v>
      </c>
      <c r="AI124" s="65"/>
      <c r="AJ124" s="24">
        <f t="shared" si="108"/>
        <v>2100</v>
      </c>
      <c r="AK124" s="522">
        <v>25</v>
      </c>
      <c r="AM124" s="205"/>
      <c r="AN124" s="205" t="str">
        <f t="shared" ref="AN124:AO124" si="110">C120</f>
        <v>R-SW_Att_ELC_HPN1-ABF</v>
      </c>
      <c r="AO124" s="205" t="str">
        <f t="shared" si="110"/>
        <v>Residential Electric Heat Pump AB - Air to Water - SH + WH - F rated dwelling</v>
      </c>
      <c r="AP124" s="100" t="s">
        <v>13</v>
      </c>
      <c r="AQ124" s="116" t="s">
        <v>119</v>
      </c>
      <c r="AR124" s="100" t="s">
        <v>684</v>
      </c>
      <c r="AS124" s="4"/>
      <c r="AT124" s="100" t="s">
        <v>75</v>
      </c>
    </row>
    <row r="125" spans="3:47" ht="12" customHeight="1" thickBot="1" x14ac:dyDescent="0.3">
      <c r="C125" s="519" t="str">
        <f>"R-SW_Att"&amp;"_"&amp;RIGHT(E125,3)&amp;"_HPN1-F"</f>
        <v>R-SW_Att_ELC_HPN1-F</v>
      </c>
      <c r="D125" s="23" t="s">
        <v>618</v>
      </c>
      <c r="E125" s="24" t="s">
        <v>144</v>
      </c>
      <c r="F125" s="24" t="s">
        <v>565</v>
      </c>
      <c r="G125" s="57" t="s">
        <v>725</v>
      </c>
      <c r="H125" s="22">
        <f t="shared" si="104"/>
        <v>0.75475475475475473</v>
      </c>
      <c r="I125" s="23">
        <f t="shared" si="104"/>
        <v>0.83023023023023013</v>
      </c>
      <c r="J125" s="23">
        <f t="shared" si="104"/>
        <v>0.93086419753086425</v>
      </c>
      <c r="K125" s="57">
        <f t="shared" si="104"/>
        <v>1.0063396730063396</v>
      </c>
      <c r="L125" s="44"/>
      <c r="M125" s="32"/>
      <c r="N125" s="32"/>
      <c r="O125" s="45"/>
      <c r="P125" s="22">
        <f t="shared" si="105"/>
        <v>0.52832832832832832</v>
      </c>
      <c r="Q125" s="23">
        <f t="shared" si="98"/>
        <v>0.58116116116116101</v>
      </c>
      <c r="R125" s="23">
        <f t="shared" si="99"/>
        <v>0.65160493827160493</v>
      </c>
      <c r="S125" s="57">
        <f t="shared" si="100"/>
        <v>0.70443777110443773</v>
      </c>
      <c r="T125" s="53">
        <v>20</v>
      </c>
      <c r="U125" s="25"/>
      <c r="V125" s="63">
        <f t="shared" si="106"/>
        <v>12.868452707454294</v>
      </c>
      <c r="W125" s="63">
        <f t="shared" si="106"/>
        <v>12.868452707454294</v>
      </c>
      <c r="X125" s="63">
        <f t="shared" si="106"/>
        <v>11.779563818565403</v>
      </c>
      <c r="Y125" s="63">
        <f t="shared" si="106"/>
        <v>11.779563818565403</v>
      </c>
      <c r="Z125" s="514">
        <f>JRC_Data!$BL$18/1000*($U$289/$U$285)</f>
        <v>0.1633333333333333</v>
      </c>
      <c r="AA125" s="66"/>
      <c r="AB125" s="44"/>
      <c r="AC125" s="72"/>
      <c r="AD125" s="72"/>
      <c r="AE125" s="72"/>
      <c r="AF125" s="72"/>
      <c r="AG125" s="66"/>
      <c r="AH125" s="63">
        <f t="shared" si="67"/>
        <v>0.7884000000000001</v>
      </c>
      <c r="AI125" s="66"/>
      <c r="AJ125" s="24">
        <f t="shared" si="108"/>
        <v>2100</v>
      </c>
      <c r="AK125" s="520">
        <v>25</v>
      </c>
      <c r="AM125" s="205"/>
      <c r="AN125" s="205" t="str">
        <f t="shared" ref="AN125:AO125" si="111">C121</f>
        <v>R-SW_Att_ELC_HPN1-ABG</v>
      </c>
      <c r="AO125" s="205" t="str">
        <f t="shared" si="111"/>
        <v>Residential Electric Heat Pump AB - Air to Water - SH + WH - G rated dwelling</v>
      </c>
      <c r="AP125" s="100" t="s">
        <v>13</v>
      </c>
      <c r="AQ125" s="116" t="s">
        <v>119</v>
      </c>
      <c r="AR125" s="100" t="s">
        <v>684</v>
      </c>
      <c r="AS125" s="4"/>
      <c r="AT125" s="100" t="s">
        <v>75</v>
      </c>
    </row>
    <row r="126" spans="3:47" ht="12" customHeight="1" thickBot="1" x14ac:dyDescent="0.3">
      <c r="C126" s="546" t="str">
        <f>"R-SW_Att"&amp;"_"&amp;RIGHT(E126,3)&amp;"_HPN1-G"</f>
        <v>R-SW_Att_ELC_HPN1-G</v>
      </c>
      <c r="D126" s="548" t="s">
        <v>629</v>
      </c>
      <c r="E126" s="547" t="s">
        <v>144</v>
      </c>
      <c r="F126" s="547" t="s">
        <v>565</v>
      </c>
      <c r="G126" s="582" t="s">
        <v>726</v>
      </c>
      <c r="H126" s="583">
        <f t="shared" si="104"/>
        <v>0.70570570570570568</v>
      </c>
      <c r="I126" s="548">
        <f t="shared" si="104"/>
        <v>0.77627627627627616</v>
      </c>
      <c r="J126" s="548">
        <f t="shared" si="104"/>
        <v>0.87037037037037035</v>
      </c>
      <c r="K126" s="582">
        <f t="shared" si="104"/>
        <v>0.94094094094094083</v>
      </c>
      <c r="L126" s="584"/>
      <c r="M126" s="550"/>
      <c r="N126" s="550"/>
      <c r="O126" s="585"/>
      <c r="P126" s="583">
        <f t="shared" si="105"/>
        <v>0.49399399399399396</v>
      </c>
      <c r="Q126" s="548">
        <f t="shared" si="98"/>
        <v>0.54339339339339332</v>
      </c>
      <c r="R126" s="548">
        <f t="shared" si="99"/>
        <v>0.60925925925925917</v>
      </c>
      <c r="S126" s="582">
        <f t="shared" si="100"/>
        <v>0.65865865865865858</v>
      </c>
      <c r="T126" s="586">
        <v>20</v>
      </c>
      <c r="U126" s="587"/>
      <c r="V126" s="588">
        <f t="shared" si="106"/>
        <v>13.056191279887486</v>
      </c>
      <c r="W126" s="588">
        <f t="shared" si="106"/>
        <v>13.056191279887486</v>
      </c>
      <c r="X126" s="588">
        <f t="shared" si="106"/>
        <v>11.967302390998597</v>
      </c>
      <c r="Y126" s="588">
        <f t="shared" si="106"/>
        <v>11.967302390998597</v>
      </c>
      <c r="Z126" s="514">
        <f>JRC_Data!$BL$18/1000*($U$289/$U$285)</f>
        <v>0.1633333333333333</v>
      </c>
      <c r="AA126" s="589"/>
      <c r="AB126" s="584"/>
      <c r="AC126" s="590"/>
      <c r="AD126" s="590"/>
      <c r="AE126" s="590"/>
      <c r="AF126" s="590"/>
      <c r="AG126" s="591"/>
      <c r="AH126" s="588">
        <f t="shared" si="67"/>
        <v>0.7884000000000001</v>
      </c>
      <c r="AI126" s="589"/>
      <c r="AJ126" s="24">
        <f t="shared" si="108"/>
        <v>2100</v>
      </c>
      <c r="AK126" s="592">
        <v>25</v>
      </c>
      <c r="AM126" s="205"/>
      <c r="AN126" s="205" t="str">
        <f t="shared" ref="AN126:AO131" si="112">C122</f>
        <v>R-SW_Att_ELC_HPN1-C</v>
      </c>
      <c r="AO126" s="205" t="str">
        <f t="shared" si="112"/>
        <v>Residential Electric Heat Pump - Air to Water - SH + WH - C rated dwelling</v>
      </c>
      <c r="AP126" s="100" t="s">
        <v>13</v>
      </c>
      <c r="AQ126" s="116" t="s">
        <v>119</v>
      </c>
      <c r="AR126" s="100" t="s">
        <v>684</v>
      </c>
      <c r="AT126" s="100" t="s">
        <v>75</v>
      </c>
    </row>
    <row r="127" spans="3:47" ht="12" customHeight="1" thickBot="1" x14ac:dyDescent="0.3">
      <c r="C127" s="554" t="str">
        <f>"R-SW_Att"&amp;"_"&amp;RIGHT(E127,3)&amp;"_HPN2-AB"</f>
        <v>R-SW_Att_ELC_HPN2-AB</v>
      </c>
      <c r="D127" s="556" t="s">
        <v>767</v>
      </c>
      <c r="E127" s="555" t="s">
        <v>531</v>
      </c>
      <c r="F127" s="555" t="s">
        <v>565</v>
      </c>
      <c r="G127" s="593" t="s">
        <v>766</v>
      </c>
      <c r="H127" s="594">
        <v>1</v>
      </c>
      <c r="I127" s="556">
        <v>1.1100000000000001</v>
      </c>
      <c r="J127" s="556">
        <v>1.19</v>
      </c>
      <c r="K127" s="593">
        <v>1.19</v>
      </c>
      <c r="L127" s="595"/>
      <c r="M127" s="558"/>
      <c r="N127" s="558"/>
      <c r="O127" s="596"/>
      <c r="P127" s="594">
        <f>H127*0.7</f>
        <v>0.7</v>
      </c>
      <c r="Q127" s="556">
        <f t="shared" si="98"/>
        <v>0.77700000000000002</v>
      </c>
      <c r="R127" s="556">
        <f t="shared" si="99"/>
        <v>0.83299999999999996</v>
      </c>
      <c r="S127" s="593">
        <f t="shared" si="100"/>
        <v>0.83299999999999996</v>
      </c>
      <c r="T127" s="597">
        <v>20</v>
      </c>
      <c r="U127" s="598"/>
      <c r="V127" s="599">
        <f>((JRC_Data!BB18+JRC_Data!BB45)/1000)*($U$289/$U$288)</f>
        <v>16.603305785123968</v>
      </c>
      <c r="W127" s="599">
        <f>((JRC_Data!BC18+JRC_Data!BC45)/1000)*($U$289/$U$288)</f>
        <v>15.28719008264463</v>
      </c>
      <c r="X127" s="599">
        <f>((JRC_Data!BD18+JRC_Data!BD45)/1000)*($U$289/$U$288)</f>
        <v>14.78099173553719</v>
      </c>
      <c r="Y127" s="599">
        <f>((JRC_Data!BE18+JRC_Data!BE45)/1000)*($U$289/$U$288)</f>
        <v>12.857438016528926</v>
      </c>
      <c r="Z127" s="514">
        <f>((JRC_Data!BL18+JRC_Data!BL45))/1000</f>
        <v>0.21199999999999999</v>
      </c>
      <c r="AA127" s="600"/>
      <c r="AB127" s="595">
        <v>0.66</v>
      </c>
      <c r="AC127" s="601"/>
      <c r="AD127" s="601"/>
      <c r="AE127" s="601"/>
      <c r="AF127" s="601"/>
      <c r="AG127" s="600">
        <v>5</v>
      </c>
      <c r="AH127" s="599">
        <f t="shared" si="67"/>
        <v>0.7884000000000001</v>
      </c>
      <c r="AI127" s="600"/>
      <c r="AJ127" s="600">
        <v>2019</v>
      </c>
      <c r="AK127" s="602">
        <v>25</v>
      </c>
      <c r="AM127" s="205"/>
      <c r="AN127" s="205" t="str">
        <f t="shared" si="112"/>
        <v>R-SW_Att_ELC_HPN1-D</v>
      </c>
      <c r="AO127" s="205" t="str">
        <f t="shared" si="112"/>
        <v>Residential Electric Heat Pump - Air to Water - SH + WH - D rated dwelling</v>
      </c>
      <c r="AP127" s="100" t="s">
        <v>13</v>
      </c>
      <c r="AQ127" s="116" t="s">
        <v>119</v>
      </c>
      <c r="AR127" s="100" t="s">
        <v>684</v>
      </c>
      <c r="AT127" s="100" t="s">
        <v>75</v>
      </c>
    </row>
    <row r="128" spans="3:47" ht="12" customHeight="1" thickBot="1" x14ac:dyDescent="0.3">
      <c r="C128" s="521" t="str">
        <f>"R-SW_Att"&amp;"_"&amp;RIGHT(E128,3)&amp;"_HPN2-ABC"</f>
        <v>R-SW_Att_ELC_HPN2-ABC</v>
      </c>
      <c r="D128" s="29" t="s">
        <v>768</v>
      </c>
      <c r="E128" s="30" t="s">
        <v>531</v>
      </c>
      <c r="F128" s="30" t="s">
        <v>565</v>
      </c>
      <c r="G128" s="58" t="s">
        <v>722</v>
      </c>
      <c r="H128" s="40">
        <v>1</v>
      </c>
      <c r="I128" s="29">
        <v>1.1100000000000001</v>
      </c>
      <c r="J128" s="29">
        <v>1.19</v>
      </c>
      <c r="K128" s="58">
        <v>1.19</v>
      </c>
      <c r="L128" s="42"/>
      <c r="M128" s="31"/>
      <c r="N128" s="31"/>
      <c r="O128" s="43"/>
      <c r="P128" s="40">
        <v>0.7</v>
      </c>
      <c r="Q128" s="29">
        <v>0.77700000000000002</v>
      </c>
      <c r="R128" s="29">
        <v>0.83299999999999996</v>
      </c>
      <c r="S128" s="58">
        <v>0.83299999999999996</v>
      </c>
      <c r="T128" s="54">
        <v>20</v>
      </c>
      <c r="U128" s="41"/>
      <c r="V128" s="62">
        <v>16.603305785123968</v>
      </c>
      <c r="W128" s="62">
        <v>15.28719008264463</v>
      </c>
      <c r="X128" s="62">
        <v>14.78099173553719</v>
      </c>
      <c r="Y128" s="62">
        <v>12.857438016528926</v>
      </c>
      <c r="Z128" s="514">
        <f>((JRC_Data!BL19+JRC_Data!BL46))/1000</f>
        <v>1.05</v>
      </c>
      <c r="AA128" s="65"/>
      <c r="AB128" s="42">
        <v>0.66</v>
      </c>
      <c r="AC128" s="71"/>
      <c r="AD128" s="71"/>
      <c r="AE128" s="71"/>
      <c r="AF128" s="71"/>
      <c r="AG128" s="209">
        <v>5</v>
      </c>
      <c r="AH128" s="62">
        <v>0.7884000000000001</v>
      </c>
      <c r="AI128" s="65"/>
      <c r="AJ128" s="65">
        <v>2019</v>
      </c>
      <c r="AK128" s="522">
        <v>25</v>
      </c>
      <c r="AM128" s="2"/>
      <c r="AN128" s="205" t="str">
        <f t="shared" si="112"/>
        <v>R-SW_Att_ELC_HPN1-E</v>
      </c>
      <c r="AO128" s="205" t="str">
        <f t="shared" si="112"/>
        <v>Residential Electric Heat Pump - Air to Water - SH + WH - E rated dwelling</v>
      </c>
      <c r="AP128" s="100" t="s">
        <v>13</v>
      </c>
      <c r="AQ128" s="116" t="s">
        <v>119</v>
      </c>
      <c r="AR128" s="100" t="s">
        <v>684</v>
      </c>
      <c r="AT128" s="100" t="s">
        <v>75</v>
      </c>
    </row>
    <row r="129" spans="3:46" ht="12" customHeight="1" thickBot="1" x14ac:dyDescent="0.3">
      <c r="C129" s="519" t="str">
        <f>"R-SW_Att"&amp;"_"&amp;RIGHT(E129,3)&amp;"_HPN2-ABD"</f>
        <v>R-SW_Att_ELC_HPN2-ABD</v>
      </c>
      <c r="D129" s="23" t="s">
        <v>769</v>
      </c>
      <c r="E129" s="24" t="s">
        <v>531</v>
      </c>
      <c r="F129" s="24" t="s">
        <v>565</v>
      </c>
      <c r="G129" s="57" t="s">
        <v>723</v>
      </c>
      <c r="H129" s="22">
        <v>1</v>
      </c>
      <c r="I129" s="23">
        <v>1.1100000000000001</v>
      </c>
      <c r="J129" s="23">
        <v>1.19</v>
      </c>
      <c r="K129" s="57">
        <v>1.19</v>
      </c>
      <c r="L129" s="44"/>
      <c r="M129" s="32"/>
      <c r="N129" s="32"/>
      <c r="O129" s="45"/>
      <c r="P129" s="22">
        <v>0.7</v>
      </c>
      <c r="Q129" s="23">
        <v>0.77700000000000002</v>
      </c>
      <c r="R129" s="23">
        <v>0.83299999999999996</v>
      </c>
      <c r="S129" s="57">
        <v>0.83299999999999996</v>
      </c>
      <c r="T129" s="53">
        <v>20</v>
      </c>
      <c r="U129" s="25"/>
      <c r="V129" s="63">
        <v>16.603305785123968</v>
      </c>
      <c r="W129" s="63">
        <v>15.28719008264463</v>
      </c>
      <c r="X129" s="63">
        <v>14.78099173553719</v>
      </c>
      <c r="Y129" s="63">
        <v>12.857438016528926</v>
      </c>
      <c r="Z129" s="514">
        <f>((JRC_Data!BL20+JRC_Data!BL47))/1000</f>
        <v>0.2</v>
      </c>
      <c r="AA129" s="66"/>
      <c r="AB129" s="44">
        <v>0.66</v>
      </c>
      <c r="AC129" s="72"/>
      <c r="AD129" s="72"/>
      <c r="AE129" s="72"/>
      <c r="AF129" s="72"/>
      <c r="AG129" s="66">
        <v>5</v>
      </c>
      <c r="AH129" s="63">
        <v>0.7884000000000001</v>
      </c>
      <c r="AI129" s="66"/>
      <c r="AJ129" s="66">
        <v>2019</v>
      </c>
      <c r="AK129" s="520">
        <v>25</v>
      </c>
      <c r="AM129" s="2"/>
      <c r="AN129" s="205" t="str">
        <f t="shared" si="112"/>
        <v>R-SW_Att_ELC_HPN1-F</v>
      </c>
      <c r="AO129" s="205" t="str">
        <f t="shared" si="112"/>
        <v>Residential Electric Heat Pump - Air to Water - SH + WH - F rated dwelling</v>
      </c>
      <c r="AP129" s="100" t="s">
        <v>13</v>
      </c>
      <c r="AQ129" s="116" t="s">
        <v>119</v>
      </c>
      <c r="AR129" s="100" t="s">
        <v>684</v>
      </c>
      <c r="AT129" s="100" t="s">
        <v>75</v>
      </c>
    </row>
    <row r="130" spans="3:46" ht="12" customHeight="1" thickBot="1" x14ac:dyDescent="0.3">
      <c r="C130" s="521" t="str">
        <f>"R-SW_Att"&amp;"_"&amp;RIGHT(E130,3)&amp;"_HPN2-ABE"</f>
        <v>R-SW_Att_ELC_HPN2-ABE</v>
      </c>
      <c r="D130" s="29" t="s">
        <v>770</v>
      </c>
      <c r="E130" s="30" t="s">
        <v>531</v>
      </c>
      <c r="F130" s="30" t="s">
        <v>565</v>
      </c>
      <c r="G130" s="58" t="s">
        <v>724</v>
      </c>
      <c r="H130" s="40">
        <v>1</v>
      </c>
      <c r="I130" s="29">
        <v>1.1100000000000001</v>
      </c>
      <c r="J130" s="29">
        <v>1.19</v>
      </c>
      <c r="K130" s="58">
        <v>1.19</v>
      </c>
      <c r="L130" s="42"/>
      <c r="M130" s="31"/>
      <c r="N130" s="31"/>
      <c r="O130" s="43"/>
      <c r="P130" s="40">
        <v>0.7</v>
      </c>
      <c r="Q130" s="29">
        <v>0.77700000000000002</v>
      </c>
      <c r="R130" s="29">
        <v>0.83299999999999996</v>
      </c>
      <c r="S130" s="58">
        <v>0.83299999999999996</v>
      </c>
      <c r="T130" s="54">
        <v>20</v>
      </c>
      <c r="U130" s="41"/>
      <c r="V130" s="62">
        <v>16.603305785123968</v>
      </c>
      <c r="W130" s="62">
        <v>15.28719008264463</v>
      </c>
      <c r="X130" s="62">
        <v>14.78099173553719</v>
      </c>
      <c r="Y130" s="62">
        <v>12.857438016528926</v>
      </c>
      <c r="Z130" s="514">
        <f>((JRC_Data!BL21+JRC_Data!BL48))/1000</f>
        <v>0.65</v>
      </c>
      <c r="AA130" s="65"/>
      <c r="AB130" s="42">
        <v>0.66</v>
      </c>
      <c r="AC130" s="71"/>
      <c r="AD130" s="71"/>
      <c r="AE130" s="71"/>
      <c r="AF130" s="71"/>
      <c r="AG130" s="209">
        <v>5</v>
      </c>
      <c r="AH130" s="62">
        <v>0.7884000000000001</v>
      </c>
      <c r="AI130" s="65"/>
      <c r="AJ130" s="65">
        <v>2019</v>
      </c>
      <c r="AK130" s="522">
        <v>25</v>
      </c>
      <c r="AM130" s="2"/>
      <c r="AN130" s="205" t="str">
        <f t="shared" si="112"/>
        <v>R-SW_Att_ELC_HPN1-G</v>
      </c>
      <c r="AO130" s="205" t="str">
        <f t="shared" si="112"/>
        <v>Residential Electric Heat Pump - Air to Water - SH + WH - G rated dwelling</v>
      </c>
      <c r="AP130" s="100" t="s">
        <v>13</v>
      </c>
      <c r="AQ130" s="116" t="s">
        <v>119</v>
      </c>
      <c r="AR130" s="100" t="s">
        <v>684</v>
      </c>
      <c r="AT130" s="100" t="s">
        <v>75</v>
      </c>
    </row>
    <row r="131" spans="3:46" ht="12" customHeight="1" thickBot="1" x14ac:dyDescent="0.3">
      <c r="C131" s="519" t="str">
        <f>"R-SW_Att"&amp;"_"&amp;RIGHT(E131,3)&amp;"_HPN2-ABF"</f>
        <v>R-SW_Att_ELC_HPN2-ABF</v>
      </c>
      <c r="D131" s="23" t="s">
        <v>771</v>
      </c>
      <c r="E131" s="24" t="s">
        <v>531</v>
      </c>
      <c r="F131" s="24" t="s">
        <v>565</v>
      </c>
      <c r="G131" s="57" t="s">
        <v>725</v>
      </c>
      <c r="H131" s="22">
        <v>1</v>
      </c>
      <c r="I131" s="23">
        <v>1.1100000000000001</v>
      </c>
      <c r="J131" s="23">
        <v>1.19</v>
      </c>
      <c r="K131" s="57">
        <v>1.19</v>
      </c>
      <c r="L131" s="44"/>
      <c r="M131" s="32"/>
      <c r="N131" s="32"/>
      <c r="O131" s="45"/>
      <c r="P131" s="22">
        <v>0.7</v>
      </c>
      <c r="Q131" s="23">
        <v>0.77700000000000002</v>
      </c>
      <c r="R131" s="23">
        <v>0.83299999999999996</v>
      </c>
      <c r="S131" s="57">
        <v>0.83299999999999996</v>
      </c>
      <c r="T131" s="53">
        <v>20</v>
      </c>
      <c r="U131" s="25"/>
      <c r="V131" s="63">
        <v>16.603305785123968</v>
      </c>
      <c r="W131" s="63">
        <v>15.28719008264463</v>
      </c>
      <c r="X131" s="63">
        <v>14.78099173553719</v>
      </c>
      <c r="Y131" s="63">
        <v>12.857438016528926</v>
      </c>
      <c r="Z131" s="514">
        <f>((JRC_Data!BL22+JRC_Data!BL49))/1000</f>
        <v>4.3</v>
      </c>
      <c r="AA131" s="66"/>
      <c r="AB131" s="44">
        <v>0.66</v>
      </c>
      <c r="AC131" s="72"/>
      <c r="AD131" s="72"/>
      <c r="AE131" s="72"/>
      <c r="AF131" s="72"/>
      <c r="AG131" s="66">
        <v>5</v>
      </c>
      <c r="AH131" s="63">
        <v>0.7884000000000001</v>
      </c>
      <c r="AI131" s="66"/>
      <c r="AJ131" s="66">
        <v>2019</v>
      </c>
      <c r="AK131" s="520">
        <v>25</v>
      </c>
      <c r="AM131" s="2"/>
      <c r="AN131" s="205" t="str">
        <f t="shared" si="112"/>
        <v>R-SW_Att_ELC_HPN2-AB</v>
      </c>
      <c r="AO131" s="205" t="str">
        <f t="shared" si="112"/>
        <v>Residential Electric Heat Pump AB - Air to Water - SH + WH + Solar - AB rated dwelling</v>
      </c>
      <c r="AP131" s="100" t="s">
        <v>13</v>
      </c>
      <c r="AQ131" s="116" t="s">
        <v>119</v>
      </c>
      <c r="AR131" s="100" t="s">
        <v>684</v>
      </c>
      <c r="AT131" s="100" t="s">
        <v>75</v>
      </c>
    </row>
    <row r="132" spans="3:46" ht="12" customHeight="1" thickBot="1" x14ac:dyDescent="0.3">
      <c r="C132" s="521" t="str">
        <f>"R-SW_Att"&amp;"_"&amp;RIGHT(E132,3)&amp;"_HPN2-ABG"</f>
        <v>R-SW_Att_ELC_HPN2-ABG</v>
      </c>
      <c r="D132" s="29" t="s">
        <v>772</v>
      </c>
      <c r="E132" s="30" t="s">
        <v>531</v>
      </c>
      <c r="F132" s="30" t="s">
        <v>565</v>
      </c>
      <c r="G132" s="58" t="s">
        <v>726</v>
      </c>
      <c r="H132" s="40">
        <v>1</v>
      </c>
      <c r="I132" s="29">
        <v>1.1100000000000001</v>
      </c>
      <c r="J132" s="29">
        <v>1.19</v>
      </c>
      <c r="K132" s="58">
        <v>1.19</v>
      </c>
      <c r="L132" s="42"/>
      <c r="M132" s="31"/>
      <c r="N132" s="31"/>
      <c r="O132" s="43"/>
      <c r="P132" s="40">
        <v>0.7</v>
      </c>
      <c r="Q132" s="29">
        <v>0.77700000000000002</v>
      </c>
      <c r="R132" s="29">
        <v>0.83299999999999996</v>
      </c>
      <c r="S132" s="58">
        <v>0.83299999999999996</v>
      </c>
      <c r="T132" s="54">
        <v>20</v>
      </c>
      <c r="U132" s="41"/>
      <c r="V132" s="62">
        <v>16.603305785123968</v>
      </c>
      <c r="W132" s="62">
        <v>15.28719008264463</v>
      </c>
      <c r="X132" s="62">
        <v>14.78099173553719</v>
      </c>
      <c r="Y132" s="62">
        <v>12.857438016528926</v>
      </c>
      <c r="Z132" s="514">
        <f>((JRC_Data!BL23+JRC_Data!BL50))/1000</f>
        <v>0.3</v>
      </c>
      <c r="AA132" s="65"/>
      <c r="AB132" s="42">
        <v>0.66</v>
      </c>
      <c r="AC132" s="71"/>
      <c r="AD132" s="71"/>
      <c r="AE132" s="71"/>
      <c r="AF132" s="71"/>
      <c r="AG132" s="209">
        <v>5</v>
      </c>
      <c r="AH132" s="62">
        <v>0.7884000000000001</v>
      </c>
      <c r="AI132" s="65"/>
      <c r="AJ132" s="65">
        <v>2019</v>
      </c>
      <c r="AK132" s="522">
        <v>25</v>
      </c>
      <c r="AM132" s="2"/>
      <c r="AN132" s="205" t="str">
        <f t="shared" ref="AN132:AO132" si="113">C128</f>
        <v>R-SW_Att_ELC_HPN2-ABC</v>
      </c>
      <c r="AO132" s="205" t="str">
        <f t="shared" si="113"/>
        <v>Residential Electric Heat Pump AB - Air to Water - SH + WH + Solar - C rated dwelling</v>
      </c>
      <c r="AP132" s="100" t="s">
        <v>13</v>
      </c>
      <c r="AQ132" s="116" t="s">
        <v>119</v>
      </c>
      <c r="AR132" s="100" t="s">
        <v>684</v>
      </c>
      <c r="AS132" s="4"/>
      <c r="AT132" s="100" t="s">
        <v>75</v>
      </c>
    </row>
    <row r="133" spans="3:46" ht="12" customHeight="1" thickBot="1" x14ac:dyDescent="0.3">
      <c r="C133" s="519" t="str">
        <f>"R-SW_Att"&amp;"_"&amp;RIGHT(E133,3)&amp;"_HPN2-C"</f>
        <v>R-SW_Att_ELC_HPN2-C</v>
      </c>
      <c r="D133" s="23" t="s">
        <v>643</v>
      </c>
      <c r="E133" s="24" t="s">
        <v>531</v>
      </c>
      <c r="F133" s="24" t="s">
        <v>565</v>
      </c>
      <c r="G133" s="57" t="s">
        <v>722</v>
      </c>
      <c r="H133" s="22">
        <f>$H$127*AL310</f>
        <v>0.92642642642642636</v>
      </c>
      <c r="I133" s="23">
        <f>$I$127*AL310</f>
        <v>1.0283333333333333</v>
      </c>
      <c r="J133" s="23">
        <f>$J$127*AL310</f>
        <v>1.1024474474474473</v>
      </c>
      <c r="K133" s="57">
        <f>$K$127*AL310</f>
        <v>1.1024474474474473</v>
      </c>
      <c r="L133" s="44"/>
      <c r="M133" s="32"/>
      <c r="N133" s="32"/>
      <c r="O133" s="45"/>
      <c r="P133" s="22">
        <f t="shared" ref="P133:P137" si="114">H133*0.7</f>
        <v>0.64849849849849839</v>
      </c>
      <c r="Q133" s="23">
        <f t="shared" si="98"/>
        <v>0.71983333333333333</v>
      </c>
      <c r="R133" s="23">
        <f t="shared" si="99"/>
        <v>0.77171321321321307</v>
      </c>
      <c r="S133" s="57">
        <f t="shared" si="100"/>
        <v>0.77171321321321307</v>
      </c>
      <c r="T133" s="53">
        <v>20</v>
      </c>
      <c r="U133" s="25"/>
      <c r="V133" s="63">
        <f t="shared" ref="V133:Y137" si="115">V26/$V$20*$V$127</f>
        <v>17.504919670336861</v>
      </c>
      <c r="W133" s="63">
        <f t="shared" si="115"/>
        <v>17.504919670336861</v>
      </c>
      <c r="X133" s="63">
        <f t="shared" si="115"/>
        <v>15.84458909182446</v>
      </c>
      <c r="Y133" s="63">
        <f t="shared" si="115"/>
        <v>15.84458909182446</v>
      </c>
      <c r="Z133" s="514">
        <f>((JRC_Data!BL24+JRC_Data!BL51))/1000</f>
        <v>0.15</v>
      </c>
      <c r="AA133" s="66"/>
      <c r="AB133" s="44">
        <v>0.66</v>
      </c>
      <c r="AC133" s="72"/>
      <c r="AD133" s="72"/>
      <c r="AE133" s="72"/>
      <c r="AF133" s="72"/>
      <c r="AG133" s="66">
        <v>5</v>
      </c>
      <c r="AH133" s="63">
        <f t="shared" si="67"/>
        <v>0.7884000000000001</v>
      </c>
      <c r="AI133" s="66"/>
      <c r="AJ133" s="24">
        <f>IF($A$2="No",2100,2019)</f>
        <v>2100</v>
      </c>
      <c r="AK133" s="520">
        <v>25</v>
      </c>
      <c r="AM133" s="2"/>
      <c r="AN133" s="205" t="str">
        <f t="shared" ref="AN133:AO133" si="116">C129</f>
        <v>R-SW_Att_ELC_HPN2-ABD</v>
      </c>
      <c r="AO133" s="205" t="str">
        <f t="shared" si="116"/>
        <v>Residential Electric Heat Pump AB - Air to Water - SH + WH + Solar - D rated dwelling</v>
      </c>
      <c r="AP133" s="100" t="s">
        <v>13</v>
      </c>
      <c r="AQ133" s="116" t="s">
        <v>119</v>
      </c>
      <c r="AR133" s="100" t="s">
        <v>684</v>
      </c>
      <c r="AS133" s="4"/>
      <c r="AT133" s="100" t="s">
        <v>75</v>
      </c>
    </row>
    <row r="134" spans="3:46" ht="12" customHeight="1" thickBot="1" x14ac:dyDescent="0.3">
      <c r="C134" s="521" t="str">
        <f>"R-SW_Att"&amp;"_"&amp;RIGHT(E134,3)&amp;"_HPN2-D"</f>
        <v>R-SW_Att_ELC_HPN2-D</v>
      </c>
      <c r="D134" s="29" t="s">
        <v>644</v>
      </c>
      <c r="E134" s="30" t="s">
        <v>531</v>
      </c>
      <c r="F134" s="30" t="s">
        <v>565</v>
      </c>
      <c r="G134" s="58" t="s">
        <v>723</v>
      </c>
      <c r="H134" s="40">
        <f>$H$127*AL311</f>
        <v>0.85285285285285284</v>
      </c>
      <c r="I134" s="29">
        <f>$I$127*AL311</f>
        <v>0.94666666666666677</v>
      </c>
      <c r="J134" s="29">
        <f>$J$127*AL311</f>
        <v>1.0148948948948948</v>
      </c>
      <c r="K134" s="58">
        <f>$K$127*AL311</f>
        <v>1.0148948948948948</v>
      </c>
      <c r="L134" s="42"/>
      <c r="M134" s="31"/>
      <c r="N134" s="31"/>
      <c r="O134" s="43"/>
      <c r="P134" s="40">
        <f t="shared" si="114"/>
        <v>0.59699699699699693</v>
      </c>
      <c r="Q134" s="29">
        <f t="shared" si="98"/>
        <v>0.66266666666666674</v>
      </c>
      <c r="R134" s="29">
        <f t="shared" si="99"/>
        <v>0.71042642642642628</v>
      </c>
      <c r="S134" s="58">
        <f t="shared" si="100"/>
        <v>0.71042642642642628</v>
      </c>
      <c r="T134" s="54">
        <v>20</v>
      </c>
      <c r="U134" s="41"/>
      <c r="V134" s="62">
        <f t="shared" si="115"/>
        <v>18.406533555549746</v>
      </c>
      <c r="W134" s="62">
        <f t="shared" si="115"/>
        <v>18.406533555549746</v>
      </c>
      <c r="X134" s="62">
        <f t="shared" si="115"/>
        <v>16.746202977037349</v>
      </c>
      <c r="Y134" s="62">
        <f t="shared" si="115"/>
        <v>16.746202977037349</v>
      </c>
      <c r="Z134" s="514">
        <f>((JRC_Data!BL25+JRC_Data!BL52))/1000</f>
        <v>0.45</v>
      </c>
      <c r="AA134" s="65"/>
      <c r="AB134" s="42">
        <v>0.66</v>
      </c>
      <c r="AC134" s="71"/>
      <c r="AD134" s="71"/>
      <c r="AE134" s="71"/>
      <c r="AF134" s="71"/>
      <c r="AG134" s="209">
        <v>5</v>
      </c>
      <c r="AH134" s="62">
        <f t="shared" si="67"/>
        <v>0.7884000000000001</v>
      </c>
      <c r="AI134" s="65"/>
      <c r="AJ134" s="24">
        <f t="shared" ref="AJ134:AJ137" si="117">IF($A$2="No",2100,2019)</f>
        <v>2100</v>
      </c>
      <c r="AK134" s="522">
        <v>25</v>
      </c>
      <c r="AM134" s="2"/>
      <c r="AN134" s="205" t="str">
        <f t="shared" ref="AN134:AO134" si="118">C130</f>
        <v>R-SW_Att_ELC_HPN2-ABE</v>
      </c>
      <c r="AO134" s="205" t="str">
        <f t="shared" si="118"/>
        <v>Residential Electric Heat Pump AB - Air to Water - SH + WH + Solar - E rated dwelling</v>
      </c>
      <c r="AP134" s="100" t="s">
        <v>13</v>
      </c>
      <c r="AQ134" s="116" t="s">
        <v>119</v>
      </c>
      <c r="AR134" s="100" t="s">
        <v>684</v>
      </c>
      <c r="AS134" s="4"/>
      <c r="AT134" s="100" t="s">
        <v>75</v>
      </c>
    </row>
    <row r="135" spans="3:46" ht="12" customHeight="1" thickBot="1" x14ac:dyDescent="0.3">
      <c r="C135" s="519" t="str">
        <f>"R-SW_Att"&amp;"_"&amp;RIGHT(E135,3)&amp;"_HPN2-E"</f>
        <v>R-SW_Att_ELC_HPN2-E</v>
      </c>
      <c r="D135" s="23" t="s">
        <v>645</v>
      </c>
      <c r="E135" s="24" t="s">
        <v>531</v>
      </c>
      <c r="F135" s="24" t="s">
        <v>565</v>
      </c>
      <c r="G135" s="57" t="s">
        <v>724</v>
      </c>
      <c r="H135" s="22">
        <f>$H$127*AL312</f>
        <v>0.80380380380380378</v>
      </c>
      <c r="I135" s="23">
        <f>$I$127*AL312</f>
        <v>0.89222222222222225</v>
      </c>
      <c r="J135" s="23">
        <f>$J$127*AL312</f>
        <v>0.95652652652652648</v>
      </c>
      <c r="K135" s="57">
        <f>$K$127*AL312</f>
        <v>0.95652652652652648</v>
      </c>
      <c r="L135" s="44"/>
      <c r="M135" s="32"/>
      <c r="N135" s="32"/>
      <c r="O135" s="45"/>
      <c r="P135" s="22">
        <f t="shared" si="114"/>
        <v>0.56266266266266263</v>
      </c>
      <c r="Q135" s="23">
        <f t="shared" si="98"/>
        <v>0.62455555555555553</v>
      </c>
      <c r="R135" s="23">
        <f t="shared" si="99"/>
        <v>0.6695685685685685</v>
      </c>
      <c r="S135" s="57">
        <f t="shared" si="100"/>
        <v>0.6695685685685685</v>
      </c>
      <c r="T135" s="53">
        <v>20</v>
      </c>
      <c r="U135" s="25"/>
      <c r="V135" s="63">
        <f t="shared" si="115"/>
        <v>19.335469073647875</v>
      </c>
      <c r="W135" s="63">
        <f t="shared" si="115"/>
        <v>19.335469073647875</v>
      </c>
      <c r="X135" s="63">
        <f t="shared" si="115"/>
        <v>17.675138495135474</v>
      </c>
      <c r="Y135" s="63">
        <f t="shared" si="115"/>
        <v>17.675138495135474</v>
      </c>
      <c r="Z135" s="514">
        <f>((JRC_Data!BL26+JRC_Data!BL53))/1000</f>
        <v>0.29443999999999998</v>
      </c>
      <c r="AA135" s="66"/>
      <c r="AB135" s="44">
        <v>0.66</v>
      </c>
      <c r="AC135" s="72"/>
      <c r="AD135" s="72"/>
      <c r="AE135" s="72"/>
      <c r="AF135" s="72"/>
      <c r="AG135" s="66">
        <v>5</v>
      </c>
      <c r="AH135" s="63">
        <f t="shared" si="67"/>
        <v>0.7884000000000001</v>
      </c>
      <c r="AI135" s="66"/>
      <c r="AJ135" s="24">
        <f t="shared" si="117"/>
        <v>2100</v>
      </c>
      <c r="AK135" s="520">
        <v>25</v>
      </c>
      <c r="AM135" s="2"/>
      <c r="AN135" s="205" t="str">
        <f t="shared" ref="AN135:AO135" si="119">C131</f>
        <v>R-SW_Att_ELC_HPN2-ABF</v>
      </c>
      <c r="AO135" s="205" t="str">
        <f t="shared" si="119"/>
        <v>Residential Electric Heat Pump AB - Air to Water - SH + WH + Solar -F rated dwelling</v>
      </c>
      <c r="AP135" s="100" t="s">
        <v>13</v>
      </c>
      <c r="AQ135" s="116" t="s">
        <v>119</v>
      </c>
      <c r="AR135" s="100" t="s">
        <v>684</v>
      </c>
      <c r="AS135" s="4"/>
      <c r="AT135" s="100" t="s">
        <v>75</v>
      </c>
    </row>
    <row r="136" spans="3:46" ht="12" customHeight="1" thickBot="1" x14ac:dyDescent="0.3">
      <c r="C136" s="521" t="str">
        <f>"R-SW_Att"&amp;"_"&amp;RIGHT(E136,3)&amp;"_HPN2-F"</f>
        <v>R-SW_Att_ELC_HPN2-F</v>
      </c>
      <c r="D136" s="29" t="s">
        <v>646</v>
      </c>
      <c r="E136" s="30" t="s">
        <v>531</v>
      </c>
      <c r="F136" s="30" t="s">
        <v>565</v>
      </c>
      <c r="G136" s="58" t="s">
        <v>725</v>
      </c>
      <c r="H136" s="40">
        <f>$H$127*AL313</f>
        <v>0.75475475475475473</v>
      </c>
      <c r="I136" s="29">
        <f>$I$127*AL313</f>
        <v>0.83777777777777784</v>
      </c>
      <c r="J136" s="29">
        <f>$J$127*AL313</f>
        <v>0.89815815815815814</v>
      </c>
      <c r="K136" s="58">
        <f>$K$127*AL313</f>
        <v>0.89815815815815814</v>
      </c>
      <c r="L136" s="42"/>
      <c r="M136" s="31"/>
      <c r="N136" s="31"/>
      <c r="O136" s="43"/>
      <c r="P136" s="40">
        <f t="shared" si="114"/>
        <v>0.52832832832832832</v>
      </c>
      <c r="Q136" s="29">
        <f t="shared" si="98"/>
        <v>0.58644444444444443</v>
      </c>
      <c r="R136" s="29">
        <f t="shared" si="99"/>
        <v>0.62871071071071061</v>
      </c>
      <c r="S136" s="58">
        <f t="shared" si="100"/>
        <v>0.62871071071071061</v>
      </c>
      <c r="T136" s="54">
        <v>20</v>
      </c>
      <c r="U136" s="41"/>
      <c r="V136" s="62">
        <f t="shared" si="115"/>
        <v>19.621731607647249</v>
      </c>
      <c r="W136" s="62">
        <f t="shared" si="115"/>
        <v>19.621731607647249</v>
      </c>
      <c r="X136" s="62">
        <f t="shared" si="115"/>
        <v>17.961401029134848</v>
      </c>
      <c r="Y136" s="62">
        <f t="shared" si="115"/>
        <v>17.961401029134848</v>
      </c>
      <c r="Z136" s="514">
        <f>((JRC_Data!BL27+JRC_Data!BL54))/1000</f>
        <v>0</v>
      </c>
      <c r="AA136" s="65"/>
      <c r="AB136" s="42">
        <v>0.66</v>
      </c>
      <c r="AC136" s="71"/>
      <c r="AD136" s="71"/>
      <c r="AE136" s="71"/>
      <c r="AF136" s="71"/>
      <c r="AG136" s="209">
        <v>5</v>
      </c>
      <c r="AH136" s="62">
        <f t="shared" si="67"/>
        <v>0.7884000000000001</v>
      </c>
      <c r="AI136" s="65"/>
      <c r="AJ136" s="24">
        <f t="shared" si="117"/>
        <v>2100</v>
      </c>
      <c r="AK136" s="522">
        <v>25</v>
      </c>
      <c r="AM136" s="2"/>
      <c r="AN136" s="205" t="str">
        <f t="shared" ref="AN136:AO136" si="120">C132</f>
        <v>R-SW_Att_ELC_HPN2-ABG</v>
      </c>
      <c r="AO136" s="205" t="str">
        <f t="shared" si="120"/>
        <v>Residential Electric Heat Pump AB - Air to Water - SH + WH + Solar - G rated dwelling</v>
      </c>
      <c r="AP136" s="100" t="s">
        <v>13</v>
      </c>
      <c r="AQ136" s="116" t="s">
        <v>119</v>
      </c>
      <c r="AR136" s="100" t="s">
        <v>684</v>
      </c>
      <c r="AS136" s="4"/>
      <c r="AT136" s="100" t="s">
        <v>75</v>
      </c>
    </row>
    <row r="137" spans="3:46" ht="12" customHeight="1" thickBot="1" x14ac:dyDescent="0.3">
      <c r="C137" s="523" t="str">
        <f>"R-SW_Att"&amp;"_"&amp;RIGHT(E137,3)&amp;"_HPN2-G"</f>
        <v>R-SW_Att_ELC_HPN2-G</v>
      </c>
      <c r="D137" s="526" t="s">
        <v>647</v>
      </c>
      <c r="E137" s="524" t="s">
        <v>531</v>
      </c>
      <c r="F137" s="524" t="s">
        <v>565</v>
      </c>
      <c r="G137" s="527" t="s">
        <v>726</v>
      </c>
      <c r="H137" s="525">
        <f>$H$127*AL314</f>
        <v>0.70570570570570568</v>
      </c>
      <c r="I137" s="526">
        <f>$I$127*AL314</f>
        <v>0.78333333333333333</v>
      </c>
      <c r="J137" s="526">
        <f>$J$127*AL314</f>
        <v>0.83978978978978969</v>
      </c>
      <c r="K137" s="527">
        <f>$K$127*AL314</f>
        <v>0.83978978978978969</v>
      </c>
      <c r="L137" s="578"/>
      <c r="M137" s="542"/>
      <c r="N137" s="542"/>
      <c r="O137" s="579"/>
      <c r="P137" s="525">
        <f t="shared" si="114"/>
        <v>0.49399399399399396</v>
      </c>
      <c r="Q137" s="526">
        <f t="shared" si="98"/>
        <v>0.54833333333333334</v>
      </c>
      <c r="R137" s="526">
        <f t="shared" si="99"/>
        <v>0.58785285285285271</v>
      </c>
      <c r="S137" s="527">
        <f t="shared" si="100"/>
        <v>0.58785285285285271</v>
      </c>
      <c r="T137" s="580">
        <v>20</v>
      </c>
      <c r="U137" s="581"/>
      <c r="V137" s="528">
        <f t="shared" si="115"/>
        <v>19.907994141646618</v>
      </c>
      <c r="W137" s="528">
        <f t="shared" si="115"/>
        <v>19.907994141646618</v>
      </c>
      <c r="X137" s="528">
        <f t="shared" si="115"/>
        <v>18.247663563134221</v>
      </c>
      <c r="Y137" s="528">
        <f t="shared" si="115"/>
        <v>18.247663563134221</v>
      </c>
      <c r="Z137" s="514">
        <f>((JRC_Data!BL28+JRC_Data!BL55))/1000</f>
        <v>0.23499999999999999</v>
      </c>
      <c r="AA137" s="529"/>
      <c r="AB137" s="578">
        <v>0.66</v>
      </c>
      <c r="AC137" s="530"/>
      <c r="AD137" s="530"/>
      <c r="AE137" s="530"/>
      <c r="AF137" s="530"/>
      <c r="AG137" s="529">
        <v>5</v>
      </c>
      <c r="AH137" s="528">
        <f t="shared" si="67"/>
        <v>0.7884000000000001</v>
      </c>
      <c r="AI137" s="529"/>
      <c r="AJ137" s="24">
        <f t="shared" si="117"/>
        <v>2100</v>
      </c>
      <c r="AK137" s="531">
        <v>25</v>
      </c>
      <c r="AM137" s="2"/>
      <c r="AN137" s="205" t="str">
        <f t="shared" ref="AN137:AO142" si="121">C133</f>
        <v>R-SW_Att_ELC_HPN2-C</v>
      </c>
      <c r="AO137" s="205" t="str">
        <f t="shared" si="121"/>
        <v>Residential Electric Heat Pump - Air to Water - SH + WH + Solar - C rated dwelling</v>
      </c>
      <c r="AP137" s="100" t="s">
        <v>13</v>
      </c>
      <c r="AQ137" s="116" t="s">
        <v>119</v>
      </c>
      <c r="AR137" s="100" t="s">
        <v>684</v>
      </c>
      <c r="AT137" s="100" t="s">
        <v>75</v>
      </c>
    </row>
    <row r="138" spans="3:46" ht="12" customHeight="1" thickBot="1" x14ac:dyDescent="0.3">
      <c r="C138" s="510" t="str">
        <f>"R-SH_Att"&amp;"_"&amp;RIGHT(E138,3)&amp;"_HPN3-AB"</f>
        <v>R-SH_Att_ELC_HPN3-AB</v>
      </c>
      <c r="D138" s="513" t="s">
        <v>752</v>
      </c>
      <c r="E138" s="511" t="s">
        <v>144</v>
      </c>
      <c r="F138" s="511" t="s">
        <v>539</v>
      </c>
      <c r="G138" s="514" t="s">
        <v>625</v>
      </c>
      <c r="H138" s="512">
        <f>JRC_Data!AC20/JRC_Data!$AC$16</f>
        <v>1.0999999999999999</v>
      </c>
      <c r="I138" s="513">
        <f>JRC_Data!AD20/JRC_Data!$AC$16</f>
        <v>1.1666666666666667</v>
      </c>
      <c r="J138" s="513">
        <f>JRC_Data!$AE$20/JRC_Data!$AC$16</f>
        <v>1.3333333333333333</v>
      </c>
      <c r="K138" s="514">
        <f>JRC_Data!$AF$20/JRC_Data!$AC$16</f>
        <v>1.5</v>
      </c>
      <c r="L138" s="573"/>
      <c r="M138" s="539"/>
      <c r="N138" s="539"/>
      <c r="O138" s="574"/>
      <c r="P138" s="512"/>
      <c r="Q138" s="513"/>
      <c r="R138" s="513"/>
      <c r="S138" s="514"/>
      <c r="T138" s="575">
        <v>20</v>
      </c>
      <c r="U138" s="576"/>
      <c r="V138" s="515">
        <f>(JRC_Data!BB20/1000)*($U$288/$U$285)</f>
        <v>15.057777777777778</v>
      </c>
      <c r="W138" s="515">
        <f>(JRC_Data!BC20/1000)*($U$288/$U$285)</f>
        <v>13.982222222222223</v>
      </c>
      <c r="X138" s="515">
        <f>(JRC_Data!BD20/1000)*($U$288/$U$285)</f>
        <v>12.906666666666666</v>
      </c>
      <c r="Y138" s="515">
        <f>(JRC_Data!BE20/1000)*($U$288/$U$285)</f>
        <v>11.831111111111111</v>
      </c>
      <c r="Z138" s="514">
        <f>(JRC_Data!BL20/1000)*($U$288/$U$285)</f>
        <v>0.21511111111111114</v>
      </c>
      <c r="AA138" s="516"/>
      <c r="AB138" s="573"/>
      <c r="AC138" s="517"/>
      <c r="AD138" s="517"/>
      <c r="AE138" s="517"/>
      <c r="AF138" s="517"/>
      <c r="AG138" s="577"/>
      <c r="AH138" s="515">
        <f t="shared" si="67"/>
        <v>0.63072000000000006</v>
      </c>
      <c r="AI138" s="516"/>
      <c r="AJ138" s="516">
        <v>2019</v>
      </c>
      <c r="AK138" s="518">
        <v>20</v>
      </c>
      <c r="AM138" s="2"/>
      <c r="AN138" s="205" t="str">
        <f t="shared" si="121"/>
        <v>R-SW_Att_ELC_HPN2-D</v>
      </c>
      <c r="AO138" s="205" t="str">
        <f t="shared" si="121"/>
        <v>Residential Electric Heat Pump - Air to Water - SH + WH + Solar - D rated dwelling</v>
      </c>
      <c r="AP138" s="100" t="s">
        <v>13</v>
      </c>
      <c r="AQ138" s="116" t="s">
        <v>119</v>
      </c>
      <c r="AR138" s="100" t="s">
        <v>684</v>
      </c>
      <c r="AT138" s="100" t="s">
        <v>75</v>
      </c>
    </row>
    <row r="139" spans="3:46" ht="12" customHeight="1" thickBot="1" x14ac:dyDescent="0.3">
      <c r="C139" s="519" t="str">
        <f>"R-SH_Att"&amp;"_"&amp;RIGHT(E139,3)&amp;"_HPN3-ABC"</f>
        <v>R-SH_Att_ELC_HPN3-ABC</v>
      </c>
      <c r="D139" s="23" t="s">
        <v>773</v>
      </c>
      <c r="E139" s="24" t="s">
        <v>144</v>
      </c>
      <c r="F139" s="24" t="s">
        <v>539</v>
      </c>
      <c r="G139" s="57" t="s">
        <v>717</v>
      </c>
      <c r="H139" s="22">
        <v>1.0999999999999999</v>
      </c>
      <c r="I139" s="23">
        <v>1.1666666666666667</v>
      </c>
      <c r="J139" s="23">
        <v>1.3333333333333333</v>
      </c>
      <c r="K139" s="57">
        <v>1.5</v>
      </c>
      <c r="L139" s="44"/>
      <c r="M139" s="32"/>
      <c r="N139" s="32"/>
      <c r="O139" s="45"/>
      <c r="P139" s="22"/>
      <c r="Q139" s="23"/>
      <c r="R139" s="23"/>
      <c r="S139" s="57"/>
      <c r="T139" s="53">
        <v>20</v>
      </c>
      <c r="U139" s="25"/>
      <c r="V139" s="63">
        <v>15.057777777777778</v>
      </c>
      <c r="W139" s="63">
        <v>13.982222222222223</v>
      </c>
      <c r="X139" s="63">
        <v>12.906666666666666</v>
      </c>
      <c r="Y139" s="63">
        <v>11.831111111111111</v>
      </c>
      <c r="Z139" s="514">
        <v>0.21511111111111114</v>
      </c>
      <c r="AA139" s="66"/>
      <c r="AB139" s="44"/>
      <c r="AC139" s="72"/>
      <c r="AD139" s="72"/>
      <c r="AE139" s="72"/>
      <c r="AF139" s="72"/>
      <c r="AG139" s="66"/>
      <c r="AH139" s="63">
        <v>0.63072000000000006</v>
      </c>
      <c r="AI139" s="66"/>
      <c r="AJ139" s="66">
        <v>2019</v>
      </c>
      <c r="AK139" s="520">
        <v>20</v>
      </c>
      <c r="AM139" s="2"/>
      <c r="AN139" s="205" t="str">
        <f t="shared" si="121"/>
        <v>R-SW_Att_ELC_HPN2-E</v>
      </c>
      <c r="AO139" s="205" t="str">
        <f t="shared" si="121"/>
        <v>Residential Electric Heat Pump - Air to Water - SH + WH + Solar - E rated dwelling</v>
      </c>
      <c r="AP139" s="100" t="s">
        <v>13</v>
      </c>
      <c r="AQ139" s="116" t="s">
        <v>119</v>
      </c>
      <c r="AR139" s="100" t="s">
        <v>684</v>
      </c>
      <c r="AT139" s="100" t="s">
        <v>75</v>
      </c>
    </row>
    <row r="140" spans="3:46" ht="12" customHeight="1" thickBot="1" x14ac:dyDescent="0.3">
      <c r="C140" s="521" t="str">
        <f>"R-SH_Att"&amp;"_"&amp;RIGHT(E140,3)&amp;"_HPN3-ABD"</f>
        <v>R-SH_Att_ELC_HPN3-ABD</v>
      </c>
      <c r="D140" s="29" t="s">
        <v>754</v>
      </c>
      <c r="E140" s="30" t="s">
        <v>144</v>
      </c>
      <c r="F140" s="30" t="s">
        <v>539</v>
      </c>
      <c r="G140" s="58" t="s">
        <v>718</v>
      </c>
      <c r="H140" s="40">
        <v>1.0999999999999999</v>
      </c>
      <c r="I140" s="29">
        <v>1.1666666666666667</v>
      </c>
      <c r="J140" s="29">
        <v>1.3333333333333333</v>
      </c>
      <c r="K140" s="58">
        <v>1.5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62">
        <v>15.057777777777778</v>
      </c>
      <c r="W140" s="62">
        <v>13.982222222222223</v>
      </c>
      <c r="X140" s="62">
        <v>12.906666666666666</v>
      </c>
      <c r="Y140" s="62">
        <v>11.831111111111111</v>
      </c>
      <c r="Z140" s="514">
        <v>0.21511111111111114</v>
      </c>
      <c r="AA140" s="65"/>
      <c r="AB140" s="42"/>
      <c r="AC140" s="71"/>
      <c r="AD140" s="71"/>
      <c r="AE140" s="71"/>
      <c r="AF140" s="71"/>
      <c r="AG140" s="209"/>
      <c r="AH140" s="62">
        <v>0.63072000000000006</v>
      </c>
      <c r="AI140" s="65"/>
      <c r="AJ140" s="65">
        <v>2019</v>
      </c>
      <c r="AK140" s="522">
        <v>20</v>
      </c>
      <c r="AM140" s="2"/>
      <c r="AN140" s="205" t="str">
        <f t="shared" si="121"/>
        <v>R-SW_Att_ELC_HPN2-F</v>
      </c>
      <c r="AO140" s="205" t="str">
        <f t="shared" si="121"/>
        <v>Residential Electric Heat Pump - Air to Water - SH + WH + Solar - F rated dwelling</v>
      </c>
      <c r="AP140" s="100" t="s">
        <v>13</v>
      </c>
      <c r="AQ140" s="116" t="s">
        <v>119</v>
      </c>
      <c r="AR140" s="100" t="s">
        <v>684</v>
      </c>
      <c r="AT140" s="100" t="s">
        <v>75</v>
      </c>
    </row>
    <row r="141" spans="3:46" ht="12" customHeight="1" thickBot="1" x14ac:dyDescent="0.3">
      <c r="C141" s="519" t="str">
        <f>"R-SH_Att"&amp;"_"&amp;RIGHT(E141,3)&amp;"_HPN3-ABE"</f>
        <v>R-SH_Att_ELC_HPN3-ABE</v>
      </c>
      <c r="D141" s="23" t="s">
        <v>755</v>
      </c>
      <c r="E141" s="24" t="s">
        <v>144</v>
      </c>
      <c r="F141" s="24" t="s">
        <v>539</v>
      </c>
      <c r="G141" s="57" t="s">
        <v>719</v>
      </c>
      <c r="H141" s="22">
        <v>1.0999999999999999</v>
      </c>
      <c r="I141" s="23">
        <v>1.1666666666666667</v>
      </c>
      <c r="J141" s="23">
        <v>1.3333333333333333</v>
      </c>
      <c r="K141" s="57">
        <v>1.5</v>
      </c>
      <c r="L141" s="44"/>
      <c r="M141" s="32"/>
      <c r="N141" s="32"/>
      <c r="O141" s="45"/>
      <c r="P141" s="22"/>
      <c r="Q141" s="23"/>
      <c r="R141" s="23"/>
      <c r="S141" s="57"/>
      <c r="T141" s="53">
        <v>20</v>
      </c>
      <c r="U141" s="25"/>
      <c r="V141" s="63">
        <v>15.057777777777778</v>
      </c>
      <c r="W141" s="63">
        <v>13.982222222222223</v>
      </c>
      <c r="X141" s="63">
        <v>12.906666666666666</v>
      </c>
      <c r="Y141" s="63">
        <v>11.831111111111111</v>
      </c>
      <c r="Z141" s="514">
        <v>0.21511111111111114</v>
      </c>
      <c r="AA141" s="66"/>
      <c r="AB141" s="44"/>
      <c r="AC141" s="72"/>
      <c r="AD141" s="72"/>
      <c r="AE141" s="72"/>
      <c r="AF141" s="72"/>
      <c r="AG141" s="66"/>
      <c r="AH141" s="63">
        <v>0.63072000000000006</v>
      </c>
      <c r="AI141" s="66"/>
      <c r="AJ141" s="66">
        <v>2019</v>
      </c>
      <c r="AK141" s="520">
        <v>20</v>
      </c>
      <c r="AM141" s="2"/>
      <c r="AN141" s="205" t="str">
        <f t="shared" si="121"/>
        <v>R-SW_Att_ELC_HPN2-G</v>
      </c>
      <c r="AO141" s="205" t="str">
        <f t="shared" si="121"/>
        <v>Residential Electric Heat Pump - Air to Water - SH + WH + Solar - G rated dwelling</v>
      </c>
      <c r="AP141" s="100" t="s">
        <v>13</v>
      </c>
      <c r="AQ141" s="116" t="s">
        <v>119</v>
      </c>
      <c r="AR141" s="100" t="s">
        <v>684</v>
      </c>
      <c r="AT141" s="100" t="s">
        <v>75</v>
      </c>
    </row>
    <row r="142" spans="3:46" ht="12" customHeight="1" thickBot="1" x14ac:dyDescent="0.3">
      <c r="C142" s="521" t="str">
        <f>"R-SH_Att"&amp;"_"&amp;RIGHT(E142,3)&amp;"_HPN3-ABF"</f>
        <v>R-SH_Att_ELC_HPN3-ABF</v>
      </c>
      <c r="D142" s="29" t="s">
        <v>774</v>
      </c>
      <c r="E142" s="30" t="s">
        <v>144</v>
      </c>
      <c r="F142" s="30" t="s">
        <v>539</v>
      </c>
      <c r="G142" s="58" t="s">
        <v>720</v>
      </c>
      <c r="H142" s="40">
        <v>1.0999999999999999</v>
      </c>
      <c r="I142" s="29">
        <v>1.1666666666666667</v>
      </c>
      <c r="J142" s="29">
        <v>1.3333333333333333</v>
      </c>
      <c r="K142" s="58">
        <v>1.5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62">
        <v>15.057777777777778</v>
      </c>
      <c r="W142" s="62">
        <v>13.982222222222223</v>
      </c>
      <c r="X142" s="62">
        <v>12.906666666666666</v>
      </c>
      <c r="Y142" s="62">
        <v>11.831111111111111</v>
      </c>
      <c r="Z142" s="514">
        <v>0.21511111111111114</v>
      </c>
      <c r="AA142" s="65"/>
      <c r="AB142" s="42"/>
      <c r="AC142" s="71"/>
      <c r="AD142" s="71"/>
      <c r="AE142" s="71"/>
      <c r="AF142" s="71"/>
      <c r="AG142" s="209"/>
      <c r="AH142" s="62">
        <v>0.63072000000000006</v>
      </c>
      <c r="AI142" s="65"/>
      <c r="AJ142" s="65">
        <v>2019</v>
      </c>
      <c r="AK142" s="522">
        <v>20</v>
      </c>
      <c r="AM142" s="2"/>
      <c r="AN142" s="205" t="str">
        <f t="shared" si="121"/>
        <v>R-SH_Att_ELC_HPN3-AB</v>
      </c>
      <c r="AO142" s="205" t="str">
        <f t="shared" si="121"/>
        <v>Residential Electric Heat Pump AB - Ground to Water - SH - AB rated dwelling</v>
      </c>
      <c r="AP142" s="100" t="s">
        <v>13</v>
      </c>
      <c r="AQ142" s="116" t="s">
        <v>119</v>
      </c>
      <c r="AR142" s="100" t="s">
        <v>684</v>
      </c>
      <c r="AT142" s="100" t="s">
        <v>75</v>
      </c>
    </row>
    <row r="143" spans="3:46" ht="12" customHeight="1" thickBot="1" x14ac:dyDescent="0.3">
      <c r="C143" s="519" t="str">
        <f>"R-SH_Att"&amp;"_"&amp;RIGHT(E143,3)&amp;"_HPN3-ABG"</f>
        <v>R-SH_Att_ELC_HPN3-ABG</v>
      </c>
      <c r="D143" s="23" t="s">
        <v>757</v>
      </c>
      <c r="E143" s="24" t="s">
        <v>144</v>
      </c>
      <c r="F143" s="24" t="s">
        <v>539</v>
      </c>
      <c r="G143" s="57" t="s">
        <v>721</v>
      </c>
      <c r="H143" s="22">
        <v>1.0999999999999999</v>
      </c>
      <c r="I143" s="23">
        <v>1.1666666666666667</v>
      </c>
      <c r="J143" s="23">
        <v>1.3333333333333333</v>
      </c>
      <c r="K143" s="57">
        <v>1.5</v>
      </c>
      <c r="L143" s="44"/>
      <c r="M143" s="32"/>
      <c r="N143" s="32"/>
      <c r="O143" s="45"/>
      <c r="P143" s="22"/>
      <c r="Q143" s="23"/>
      <c r="R143" s="23"/>
      <c r="S143" s="57"/>
      <c r="T143" s="53">
        <v>20</v>
      </c>
      <c r="U143" s="25"/>
      <c r="V143" s="63">
        <v>15.057777777777778</v>
      </c>
      <c r="W143" s="63">
        <v>13.982222222222223</v>
      </c>
      <c r="X143" s="63">
        <v>12.906666666666666</v>
      </c>
      <c r="Y143" s="63">
        <v>11.831111111111111</v>
      </c>
      <c r="Z143" s="514">
        <v>0.21511111111111114</v>
      </c>
      <c r="AA143" s="66"/>
      <c r="AB143" s="44"/>
      <c r="AC143" s="72"/>
      <c r="AD143" s="72"/>
      <c r="AE143" s="72"/>
      <c r="AF143" s="72"/>
      <c r="AG143" s="66"/>
      <c r="AH143" s="63">
        <v>0.63072000000000006</v>
      </c>
      <c r="AI143" s="66"/>
      <c r="AJ143" s="66">
        <v>2019</v>
      </c>
      <c r="AK143" s="520">
        <v>20</v>
      </c>
      <c r="AM143" s="2"/>
      <c r="AN143" s="205" t="str">
        <f t="shared" ref="AN143:AO143" si="122">C139</f>
        <v>R-SH_Att_ELC_HPN3-ABC</v>
      </c>
      <c r="AO143" s="205" t="str">
        <f t="shared" si="122"/>
        <v>Residential Electric Heat Pump AB - Ground to Water - SH - C rated dwelling</v>
      </c>
      <c r="AP143" s="100" t="s">
        <v>13</v>
      </c>
      <c r="AQ143" s="116" t="s">
        <v>119</v>
      </c>
      <c r="AR143" s="100" t="s">
        <v>684</v>
      </c>
      <c r="AS143" s="4"/>
      <c r="AT143" s="100" t="s">
        <v>75</v>
      </c>
    </row>
    <row r="144" spans="3:46" ht="12" customHeight="1" thickBot="1" x14ac:dyDescent="0.3">
      <c r="C144" s="521" t="str">
        <f>"R-SH_Att"&amp;"_"&amp;RIGHT(E144,3)&amp;"_HPN3-C"</f>
        <v>R-SH_Att_ELC_HPN3-C</v>
      </c>
      <c r="D144" s="29" t="s">
        <v>630</v>
      </c>
      <c r="E144" s="30" t="s">
        <v>144</v>
      </c>
      <c r="F144" s="30" t="s">
        <v>539</v>
      </c>
      <c r="G144" s="58" t="s">
        <v>717</v>
      </c>
      <c r="H144" s="40">
        <f>(JRC_Data!$AC$20/JRC_Data!$AC$16)*AL310</f>
        <v>1.0190690690690689</v>
      </c>
      <c r="I144" s="29">
        <f>(JRC_Data!$AD$20/JRC_Data!$AC$16)*AL310</f>
        <v>1.0808308308308308</v>
      </c>
      <c r="J144" s="29">
        <f>(JRC_Data!AE20/JRC_Data!$AC$16)*AL310</f>
        <v>1.2352352352352352</v>
      </c>
      <c r="K144" s="58">
        <f>(JRC_Data!$AF$20/JRC_Data!$AC$16)*AL310</f>
        <v>1.3896396396396395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62">
        <f t="shared" ref="V144:Y148" si="123">V26/$V$20*$V$138</f>
        <v>15.875464430098456</v>
      </c>
      <c r="W144" s="62">
        <f t="shared" si="123"/>
        <v>15.875464430098456</v>
      </c>
      <c r="X144" s="62">
        <f t="shared" si="123"/>
        <v>14.369686652320675</v>
      </c>
      <c r="Y144" s="62">
        <f t="shared" si="123"/>
        <v>14.369686652320675</v>
      </c>
      <c r="Z144" s="514">
        <v>0.21511111111111114</v>
      </c>
      <c r="AA144" s="65"/>
      <c r="AB144" s="42"/>
      <c r="AC144" s="71"/>
      <c r="AD144" s="71"/>
      <c r="AE144" s="71"/>
      <c r="AF144" s="71"/>
      <c r="AG144" s="209"/>
      <c r="AH144" s="62">
        <f t="shared" si="67"/>
        <v>0.63072000000000006</v>
      </c>
      <c r="AI144" s="65"/>
      <c r="AJ144" s="24">
        <f>IF($A$2="No",2100,2019)</f>
        <v>2100</v>
      </c>
      <c r="AK144" s="522">
        <v>20</v>
      </c>
      <c r="AM144" s="2"/>
      <c r="AN144" s="205" t="str">
        <f t="shared" ref="AN144:AO144" si="124">C140</f>
        <v>R-SH_Att_ELC_HPN3-ABD</v>
      </c>
      <c r="AO144" s="205" t="str">
        <f t="shared" si="124"/>
        <v>Residential Electric Heat Pump AB - Ground to Water - SH - D rated dwelling</v>
      </c>
      <c r="AP144" s="100" t="s">
        <v>13</v>
      </c>
      <c r="AQ144" s="116" t="s">
        <v>119</v>
      </c>
      <c r="AR144" s="100" t="s">
        <v>684</v>
      </c>
      <c r="AS144" s="4"/>
      <c r="AT144" s="100" t="s">
        <v>75</v>
      </c>
    </row>
    <row r="145" spans="1:46" ht="12" customHeight="1" thickBot="1" x14ac:dyDescent="0.3">
      <c r="C145" s="519" t="str">
        <f>"R-SH_Att"&amp;"_"&amp;RIGHT(E145,3)&amp;"_HPN3-D"</f>
        <v>R-SH_Att_ELC_HPN3-D</v>
      </c>
      <c r="D145" s="23" t="s">
        <v>631</v>
      </c>
      <c r="E145" s="24" t="s">
        <v>144</v>
      </c>
      <c r="F145" s="24" t="s">
        <v>539</v>
      </c>
      <c r="G145" s="57" t="s">
        <v>718</v>
      </c>
      <c r="H145" s="22">
        <f>(JRC_Data!$AC$20/JRC_Data!$AC$16)*AL311</f>
        <v>0.93813813813813796</v>
      </c>
      <c r="I145" s="23">
        <f>(JRC_Data!$AD$20/JRC_Data!$AC$16)*AL311</f>
        <v>0.994994994994995</v>
      </c>
      <c r="J145" s="23">
        <f>(JRC_Data!AE21/JRC_Data!$AC$16)*AL311</f>
        <v>1.137137137137137</v>
      </c>
      <c r="K145" s="57">
        <f>(JRC_Data!$AF$20/JRC_Data!$AC$16)*AL311</f>
        <v>1.2792792792792793</v>
      </c>
      <c r="L145" s="44"/>
      <c r="M145" s="32"/>
      <c r="N145" s="32"/>
      <c r="O145" s="45"/>
      <c r="P145" s="22"/>
      <c r="Q145" s="23"/>
      <c r="R145" s="23"/>
      <c r="S145" s="57"/>
      <c r="T145" s="53">
        <v>20</v>
      </c>
      <c r="U145" s="25"/>
      <c r="V145" s="63">
        <f t="shared" si="123"/>
        <v>16.693151082419128</v>
      </c>
      <c r="W145" s="63">
        <f t="shared" si="123"/>
        <v>16.693151082419128</v>
      </c>
      <c r="X145" s="63">
        <f t="shared" si="123"/>
        <v>15.187373304641349</v>
      </c>
      <c r="Y145" s="63">
        <f t="shared" si="123"/>
        <v>15.187373304641349</v>
      </c>
      <c r="Z145" s="514">
        <v>0.21511111111111114</v>
      </c>
      <c r="AA145" s="66"/>
      <c r="AB145" s="44"/>
      <c r="AC145" s="72"/>
      <c r="AD145" s="72"/>
      <c r="AE145" s="72"/>
      <c r="AF145" s="72"/>
      <c r="AG145" s="66"/>
      <c r="AH145" s="63">
        <f t="shared" si="67"/>
        <v>0.63072000000000006</v>
      </c>
      <c r="AI145" s="66"/>
      <c r="AJ145" s="24">
        <f t="shared" ref="AJ145:AJ148" si="125">IF($A$2="No",2100,2019)</f>
        <v>2100</v>
      </c>
      <c r="AK145" s="520">
        <v>20</v>
      </c>
      <c r="AM145" s="2"/>
      <c r="AN145" s="205" t="str">
        <f t="shared" ref="AN145:AO145" si="126">C141</f>
        <v>R-SH_Att_ELC_HPN3-ABE</v>
      </c>
      <c r="AO145" s="205" t="str">
        <f t="shared" si="126"/>
        <v>Residential Electric Heat Pump AB - Ground to Water - SH - E rated dwelling</v>
      </c>
      <c r="AP145" s="100" t="s">
        <v>13</v>
      </c>
      <c r="AQ145" s="116" t="s">
        <v>119</v>
      </c>
      <c r="AR145" s="100" t="s">
        <v>684</v>
      </c>
      <c r="AS145" s="4"/>
      <c r="AT145" s="100" t="s">
        <v>75</v>
      </c>
    </row>
    <row r="146" spans="1:46" ht="12" customHeight="1" thickBot="1" x14ac:dyDescent="0.3">
      <c r="C146" s="521" t="str">
        <f>"R-SH_Att"&amp;"_"&amp;RIGHT(E146,3)&amp;"_HPN3-E"</f>
        <v>R-SH_Att_ELC_HPN3-E</v>
      </c>
      <c r="D146" s="29" t="s">
        <v>632</v>
      </c>
      <c r="E146" s="30" t="s">
        <v>144</v>
      </c>
      <c r="F146" s="30" t="s">
        <v>539</v>
      </c>
      <c r="G146" s="58" t="s">
        <v>719</v>
      </c>
      <c r="H146" s="40">
        <f>(JRC_Data!$AC$20/JRC_Data!$AC$16)*AL312</f>
        <v>0.8841841841841841</v>
      </c>
      <c r="I146" s="29">
        <f>(JRC_Data!$AD$20/JRC_Data!$AC$16)*AL312</f>
        <v>0.93777110443777112</v>
      </c>
      <c r="J146" s="29">
        <f>(JRC_Data!AE22/JRC_Data!$AC$16)*AL312</f>
        <v>0</v>
      </c>
      <c r="K146" s="58">
        <f>(JRC_Data!$AF$20/JRC_Data!$AC$16)*AL312</f>
        <v>1.2057057057057057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62">
        <f t="shared" si="123"/>
        <v>17.535616118143462</v>
      </c>
      <c r="W146" s="62">
        <f t="shared" si="123"/>
        <v>17.535616118143462</v>
      </c>
      <c r="X146" s="62">
        <f t="shared" si="123"/>
        <v>16.029838340365682</v>
      </c>
      <c r="Y146" s="62">
        <f t="shared" si="123"/>
        <v>16.029838340365682</v>
      </c>
      <c r="Z146" s="514">
        <v>0.21511111111111114</v>
      </c>
      <c r="AA146" s="65"/>
      <c r="AB146" s="42"/>
      <c r="AC146" s="71"/>
      <c r="AD146" s="71"/>
      <c r="AE146" s="71"/>
      <c r="AF146" s="71"/>
      <c r="AG146" s="209"/>
      <c r="AH146" s="62">
        <f t="shared" si="67"/>
        <v>0.63072000000000006</v>
      </c>
      <c r="AI146" s="65"/>
      <c r="AJ146" s="24">
        <f t="shared" si="125"/>
        <v>2100</v>
      </c>
      <c r="AK146" s="522">
        <v>20</v>
      </c>
      <c r="AM146" s="2"/>
      <c r="AN146" s="205" t="str">
        <f t="shared" ref="AN146:AO146" si="127">C142</f>
        <v>R-SH_Att_ELC_HPN3-ABF</v>
      </c>
      <c r="AO146" s="205" t="str">
        <f t="shared" si="127"/>
        <v>Residential Electric Heat Pump AB - Ground to Water - SH - Frated dwelling</v>
      </c>
      <c r="AP146" s="100" t="s">
        <v>13</v>
      </c>
      <c r="AQ146" s="116" t="s">
        <v>119</v>
      </c>
      <c r="AR146" s="100" t="s">
        <v>684</v>
      </c>
      <c r="AS146" s="4"/>
      <c r="AT146" s="100" t="s">
        <v>75</v>
      </c>
    </row>
    <row r="147" spans="1:46" ht="12" customHeight="1" thickBot="1" x14ac:dyDescent="0.3">
      <c r="C147" s="519" t="str">
        <f>"R-SH_Att"&amp;"_"&amp;RIGHT(E147,3)&amp;"_HPN3-F"</f>
        <v>R-SH_Att_ELC_HPN3-F</v>
      </c>
      <c r="D147" s="23" t="s">
        <v>633</v>
      </c>
      <c r="E147" s="24" t="s">
        <v>144</v>
      </c>
      <c r="F147" s="24" t="s">
        <v>539</v>
      </c>
      <c r="G147" s="57" t="s">
        <v>720</v>
      </c>
      <c r="H147" s="22">
        <f>(JRC_Data!$AC$20/JRC_Data!$AC$16)*AL313</f>
        <v>0.83023023023023013</v>
      </c>
      <c r="I147" s="23">
        <f>(JRC_Data!$AD$20/JRC_Data!$AC$16)*AL313</f>
        <v>0.88054721388054724</v>
      </c>
      <c r="J147" s="23">
        <f>(JRC_Data!AE23/JRC_Data!$AC$16)*AL313</f>
        <v>0</v>
      </c>
      <c r="K147" s="57">
        <f>(JRC_Data!$AF$20/JRC_Data!$AC$16)*AL313</f>
        <v>1.132132132132132</v>
      </c>
      <c r="L147" s="44"/>
      <c r="M147" s="32"/>
      <c r="N147" s="32"/>
      <c r="O147" s="45"/>
      <c r="P147" s="22"/>
      <c r="Q147" s="23"/>
      <c r="R147" s="23"/>
      <c r="S147" s="57"/>
      <c r="T147" s="53">
        <v>20</v>
      </c>
      <c r="U147" s="25"/>
      <c r="V147" s="63">
        <f t="shared" si="123"/>
        <v>17.795231744022505</v>
      </c>
      <c r="W147" s="63">
        <f t="shared" si="123"/>
        <v>17.795231744022505</v>
      </c>
      <c r="X147" s="63">
        <f t="shared" si="123"/>
        <v>16.289453966244725</v>
      </c>
      <c r="Y147" s="63">
        <f t="shared" si="123"/>
        <v>16.289453966244725</v>
      </c>
      <c r="Z147" s="514">
        <v>0.21511111111111114</v>
      </c>
      <c r="AA147" s="66"/>
      <c r="AB147" s="44"/>
      <c r="AC147" s="72"/>
      <c r="AD147" s="72"/>
      <c r="AE147" s="72"/>
      <c r="AF147" s="72"/>
      <c r="AG147" s="66"/>
      <c r="AH147" s="63">
        <f t="shared" si="67"/>
        <v>0.63072000000000006</v>
      </c>
      <c r="AI147" s="66"/>
      <c r="AJ147" s="24">
        <f t="shared" si="125"/>
        <v>2100</v>
      </c>
      <c r="AK147" s="520">
        <v>20</v>
      </c>
      <c r="AM147" s="2"/>
      <c r="AN147" s="205" t="str">
        <f t="shared" ref="AN147:AO147" si="128">C143</f>
        <v>R-SH_Att_ELC_HPN3-ABG</v>
      </c>
      <c r="AO147" s="205" t="str">
        <f t="shared" si="128"/>
        <v>Residential Electric Heat Pump AB - Ground to Water - SH - G rated dwelling</v>
      </c>
      <c r="AP147" s="100" t="s">
        <v>13</v>
      </c>
      <c r="AQ147" s="116" t="s">
        <v>119</v>
      </c>
      <c r="AR147" s="100" t="s">
        <v>684</v>
      </c>
      <c r="AS147" s="4"/>
      <c r="AT147" s="100" t="s">
        <v>75</v>
      </c>
    </row>
    <row r="148" spans="1:46" ht="12" customHeight="1" thickBot="1" x14ac:dyDescent="0.3">
      <c r="A148" s="2"/>
      <c r="C148" s="546" t="str">
        <f>"R-SH_Att"&amp;"_"&amp;RIGHT(E148,3)&amp;"_HPN3-G"</f>
        <v>R-SH_Att_ELC_HPN3-G</v>
      </c>
      <c r="D148" s="548" t="s">
        <v>634</v>
      </c>
      <c r="E148" s="547" t="s">
        <v>144</v>
      </c>
      <c r="F148" s="547" t="s">
        <v>539</v>
      </c>
      <c r="G148" s="582" t="s">
        <v>721</v>
      </c>
      <c r="H148" s="583">
        <f>(JRC_Data!$AC$20/JRC_Data!$AC$16)*AL314</f>
        <v>0.77627627627627616</v>
      </c>
      <c r="I148" s="548">
        <f>(JRC_Data!$AD$20/JRC_Data!$AC$16)*AL314</f>
        <v>0.82332332332332336</v>
      </c>
      <c r="J148" s="548">
        <f>(JRC_Data!AE24/JRC_Data!$AC$16)*AL314</f>
        <v>0.79979979979979976</v>
      </c>
      <c r="K148" s="582">
        <f>(JRC_Data!$AF$20/JRC_Data!$AC$16)*AL314</f>
        <v>1.0585585585585586</v>
      </c>
      <c r="L148" s="584"/>
      <c r="M148" s="550"/>
      <c r="N148" s="550"/>
      <c r="O148" s="585"/>
      <c r="P148" s="583"/>
      <c r="Q148" s="548"/>
      <c r="R148" s="548"/>
      <c r="S148" s="582"/>
      <c r="T148" s="586">
        <v>20</v>
      </c>
      <c r="U148" s="587"/>
      <c r="V148" s="588">
        <f t="shared" si="123"/>
        <v>18.054847369901548</v>
      </c>
      <c r="W148" s="588">
        <f t="shared" si="123"/>
        <v>18.054847369901548</v>
      </c>
      <c r="X148" s="588">
        <f t="shared" si="123"/>
        <v>16.549069592123772</v>
      </c>
      <c r="Y148" s="588">
        <f t="shared" si="123"/>
        <v>16.549069592123772</v>
      </c>
      <c r="Z148" s="514">
        <v>0.21511111111111114</v>
      </c>
      <c r="AA148" s="589"/>
      <c r="AB148" s="584"/>
      <c r="AC148" s="590"/>
      <c r="AD148" s="590"/>
      <c r="AE148" s="590"/>
      <c r="AF148" s="590"/>
      <c r="AG148" s="591"/>
      <c r="AH148" s="588">
        <f t="shared" si="67"/>
        <v>0.63072000000000006</v>
      </c>
      <c r="AI148" s="589"/>
      <c r="AJ148" s="24">
        <f t="shared" si="125"/>
        <v>2100</v>
      </c>
      <c r="AK148" s="592">
        <v>20</v>
      </c>
      <c r="AM148" s="2"/>
      <c r="AN148" s="205" t="str">
        <f t="shared" ref="AN148:AO153" si="129">C144</f>
        <v>R-SH_Att_ELC_HPN3-C</v>
      </c>
      <c r="AO148" s="205" t="str">
        <f t="shared" si="129"/>
        <v>Residential Electric Heat Pump - Ground to Water - SH - C rated dwelling</v>
      </c>
      <c r="AP148" s="100" t="s">
        <v>13</v>
      </c>
      <c r="AQ148" s="116" t="s">
        <v>119</v>
      </c>
      <c r="AR148" s="100" t="s">
        <v>684</v>
      </c>
      <c r="AT148" s="100" t="s">
        <v>75</v>
      </c>
    </row>
    <row r="149" spans="1:46" ht="12" customHeight="1" thickBot="1" x14ac:dyDescent="0.3">
      <c r="A149" s="2"/>
      <c r="C149" s="554" t="str">
        <f>"R-HC_Att"&amp;"_"&amp;RIGHT(E149,3)&amp;"_HPN2-AB"</f>
        <v>R-HC_Att_ELC_HPN2-AB</v>
      </c>
      <c r="D149" s="556" t="s">
        <v>776</v>
      </c>
      <c r="E149" s="555" t="s">
        <v>144</v>
      </c>
      <c r="F149" s="555" t="s">
        <v>796</v>
      </c>
      <c r="G149" s="593" t="s">
        <v>775</v>
      </c>
      <c r="H149" s="594">
        <f>H138</f>
        <v>1.0999999999999999</v>
      </c>
      <c r="I149" s="556">
        <f>I138</f>
        <v>1.1666666666666667</v>
      </c>
      <c r="J149" s="556">
        <f>J138</f>
        <v>1.3333333333333333</v>
      </c>
      <c r="K149" s="593">
        <f>K138</f>
        <v>1.5</v>
      </c>
      <c r="L149" s="595">
        <f>H149*0.9</f>
        <v>0.98999999999999988</v>
      </c>
      <c r="M149" s="558">
        <f t="shared" ref="M149:O159" si="130">I149*0.9</f>
        <v>1.05</v>
      </c>
      <c r="N149" s="558">
        <f t="shared" si="130"/>
        <v>1.2</v>
      </c>
      <c r="O149" s="596">
        <f t="shared" si="130"/>
        <v>1.35</v>
      </c>
      <c r="P149" s="594"/>
      <c r="Q149" s="556"/>
      <c r="R149" s="556"/>
      <c r="S149" s="593"/>
      <c r="T149" s="597">
        <v>20</v>
      </c>
      <c r="U149" s="598"/>
      <c r="V149" s="599">
        <f>(JRC_Data!BB20/1000)*($U$289/$U$285)</f>
        <v>15.244444444444444</v>
      </c>
      <c r="W149" s="599">
        <f>(JRC_Data!BC20/1000)*($U$289/$U$285)</f>
        <v>14.155555555555555</v>
      </c>
      <c r="X149" s="599">
        <f>(JRC_Data!BD20/1000)*($U$289/$U$285)</f>
        <v>13.066666666666666</v>
      </c>
      <c r="Y149" s="599">
        <f>(JRC_Data!BE20/1000)*($U$289/$U$285)</f>
        <v>11.977777777777776</v>
      </c>
      <c r="Z149" s="514">
        <f>(JRC_Data!BL20/1000)*($U$288/$U$285)</f>
        <v>0.21511111111111114</v>
      </c>
      <c r="AA149" s="600"/>
      <c r="AB149" s="595"/>
      <c r="AC149" s="601"/>
      <c r="AD149" s="601"/>
      <c r="AE149" s="601"/>
      <c r="AF149" s="601"/>
      <c r="AG149" s="600"/>
      <c r="AH149" s="599">
        <f>31.536*(AK149/1000)</f>
        <v>0.7884000000000001</v>
      </c>
      <c r="AI149" s="600"/>
      <c r="AJ149" s="600">
        <v>2019</v>
      </c>
      <c r="AK149" s="602">
        <v>25</v>
      </c>
      <c r="AM149" s="2"/>
      <c r="AN149" s="205" t="str">
        <f t="shared" si="129"/>
        <v>R-SH_Att_ELC_HPN3-D</v>
      </c>
      <c r="AO149" s="205" t="str">
        <f t="shared" si="129"/>
        <v>Residential Electric Heat Pump - Ground to Water - SH - D rated dwelling</v>
      </c>
      <c r="AP149" s="100" t="s">
        <v>13</v>
      </c>
      <c r="AQ149" s="116" t="s">
        <v>119</v>
      </c>
      <c r="AR149" s="100" t="s">
        <v>684</v>
      </c>
      <c r="AT149" s="100" t="s">
        <v>75</v>
      </c>
    </row>
    <row r="150" spans="1:46" ht="12" customHeight="1" thickBot="1" x14ac:dyDescent="0.3">
      <c r="C150" s="521" t="str">
        <f>"R-HC_Att"&amp;"_"&amp;RIGHT(E150,3)&amp;"_HPN2-ABC"</f>
        <v>R-HC_Att_ELC_HPN2-ABC</v>
      </c>
      <c r="D150" s="29" t="s">
        <v>777</v>
      </c>
      <c r="E150" s="30" t="s">
        <v>144</v>
      </c>
      <c r="F150" s="30" t="s">
        <v>796</v>
      </c>
      <c r="G150" s="58" t="s">
        <v>727</v>
      </c>
      <c r="H150" s="40">
        <v>1.0999999999999999</v>
      </c>
      <c r="I150" s="29">
        <v>1.1666666666666667</v>
      </c>
      <c r="J150" s="29">
        <v>1.3333333333333333</v>
      </c>
      <c r="K150" s="58">
        <v>1.5</v>
      </c>
      <c r="L150" s="42">
        <v>0.98999999999999988</v>
      </c>
      <c r="M150" s="31">
        <v>1.05</v>
      </c>
      <c r="N150" s="31">
        <v>1.2</v>
      </c>
      <c r="O150" s="43">
        <v>1.35</v>
      </c>
      <c r="P150" s="40"/>
      <c r="Q150" s="29"/>
      <c r="R150" s="29"/>
      <c r="S150" s="58"/>
      <c r="T150" s="54">
        <v>20</v>
      </c>
      <c r="U150" s="41"/>
      <c r="V150" s="62">
        <v>15.244444444444444</v>
      </c>
      <c r="W150" s="62">
        <v>14.155555555555555</v>
      </c>
      <c r="X150" s="62">
        <v>13.066666666666666</v>
      </c>
      <c r="Y150" s="62">
        <v>11.977777777777776</v>
      </c>
      <c r="Z150" s="514">
        <v>0.21511111111111114</v>
      </c>
      <c r="AA150" s="65"/>
      <c r="AB150" s="42"/>
      <c r="AC150" s="71"/>
      <c r="AD150" s="71"/>
      <c r="AE150" s="71"/>
      <c r="AF150" s="71"/>
      <c r="AG150" s="209"/>
      <c r="AH150" s="62">
        <v>0.7884000000000001</v>
      </c>
      <c r="AI150" s="65"/>
      <c r="AJ150" s="65">
        <v>2019</v>
      </c>
      <c r="AK150" s="522">
        <v>25</v>
      </c>
      <c r="AM150" s="2"/>
      <c r="AN150" s="205" t="str">
        <f t="shared" si="129"/>
        <v>R-SH_Att_ELC_HPN3-E</v>
      </c>
      <c r="AO150" s="205" t="str">
        <f t="shared" si="129"/>
        <v>Residential Electric Heat Pump - Ground to Water - SH - E rated dwelling</v>
      </c>
      <c r="AP150" s="100" t="s">
        <v>13</v>
      </c>
      <c r="AQ150" s="116" t="s">
        <v>119</v>
      </c>
      <c r="AR150" s="100" t="s">
        <v>684</v>
      </c>
      <c r="AT150" s="100" t="s">
        <v>75</v>
      </c>
    </row>
    <row r="151" spans="1:46" ht="12" customHeight="1" thickBot="1" x14ac:dyDescent="0.3">
      <c r="C151" s="519" t="str">
        <f>"R-HC_Att"&amp;"_"&amp;RIGHT(E151,3)&amp;"_HPN2-ABD"</f>
        <v>R-HC_Att_ELC_HPN2-ABD</v>
      </c>
      <c r="D151" s="23" t="s">
        <v>778</v>
      </c>
      <c r="E151" s="24" t="s">
        <v>144</v>
      </c>
      <c r="F151" s="24" t="s">
        <v>796</v>
      </c>
      <c r="G151" s="57" t="s">
        <v>728</v>
      </c>
      <c r="H151" s="22">
        <v>1.0999999999999999</v>
      </c>
      <c r="I151" s="23">
        <v>1.1666666666666667</v>
      </c>
      <c r="J151" s="23">
        <v>1.3333333333333333</v>
      </c>
      <c r="K151" s="57">
        <v>1.5</v>
      </c>
      <c r="L151" s="44">
        <v>0.98999999999999988</v>
      </c>
      <c r="M151" s="32">
        <v>1.05</v>
      </c>
      <c r="N151" s="32">
        <v>1.2</v>
      </c>
      <c r="O151" s="45">
        <v>1.35</v>
      </c>
      <c r="P151" s="22"/>
      <c r="Q151" s="23"/>
      <c r="R151" s="23"/>
      <c r="S151" s="57"/>
      <c r="T151" s="53">
        <v>20</v>
      </c>
      <c r="U151" s="25"/>
      <c r="V151" s="63">
        <v>15.244444444444444</v>
      </c>
      <c r="W151" s="63">
        <v>14.155555555555555</v>
      </c>
      <c r="X151" s="63">
        <v>13.066666666666666</v>
      </c>
      <c r="Y151" s="63">
        <v>11.977777777777776</v>
      </c>
      <c r="Z151" s="514">
        <v>0.21511111111111114</v>
      </c>
      <c r="AA151" s="66"/>
      <c r="AB151" s="44"/>
      <c r="AC151" s="72"/>
      <c r="AD151" s="72"/>
      <c r="AE151" s="72"/>
      <c r="AF151" s="72"/>
      <c r="AG151" s="66"/>
      <c r="AH151" s="63">
        <v>0.7884000000000001</v>
      </c>
      <c r="AI151" s="66"/>
      <c r="AJ151" s="66">
        <v>2019</v>
      </c>
      <c r="AK151" s="520">
        <v>25</v>
      </c>
      <c r="AM151" s="2"/>
      <c r="AN151" s="205" t="str">
        <f t="shared" si="129"/>
        <v>R-SH_Att_ELC_HPN3-F</v>
      </c>
      <c r="AO151" s="205" t="str">
        <f t="shared" si="129"/>
        <v>Residential Electric Heat Pump - Ground to Water - SH - F rated dwelling</v>
      </c>
      <c r="AP151" s="100" t="s">
        <v>13</v>
      </c>
      <c r="AQ151" s="116" t="s">
        <v>119</v>
      </c>
      <c r="AR151" s="100" t="s">
        <v>684</v>
      </c>
      <c r="AT151" s="100" t="s">
        <v>75</v>
      </c>
    </row>
    <row r="152" spans="1:46" ht="12" customHeight="1" thickBot="1" x14ac:dyDescent="0.3">
      <c r="C152" s="521" t="str">
        <f>"R-HC_Att"&amp;"_"&amp;RIGHT(E152,3)&amp;"_HPN2-ABE"</f>
        <v>R-HC_Att_ELC_HPN2-ABE</v>
      </c>
      <c r="D152" s="29" t="s">
        <v>779</v>
      </c>
      <c r="E152" s="30" t="s">
        <v>144</v>
      </c>
      <c r="F152" s="30" t="s">
        <v>796</v>
      </c>
      <c r="G152" s="58" t="s">
        <v>729</v>
      </c>
      <c r="H152" s="40">
        <v>1.0999999999999999</v>
      </c>
      <c r="I152" s="29">
        <v>1.1666666666666667</v>
      </c>
      <c r="J152" s="29">
        <v>1.3333333333333333</v>
      </c>
      <c r="K152" s="58">
        <v>1.5</v>
      </c>
      <c r="L152" s="42">
        <v>0.98999999999999988</v>
      </c>
      <c r="M152" s="31">
        <v>1.05</v>
      </c>
      <c r="N152" s="31">
        <v>1.2</v>
      </c>
      <c r="O152" s="43">
        <v>1.35</v>
      </c>
      <c r="P152" s="40"/>
      <c r="Q152" s="29"/>
      <c r="R152" s="29"/>
      <c r="S152" s="58"/>
      <c r="T152" s="54">
        <v>20</v>
      </c>
      <c r="U152" s="41"/>
      <c r="V152" s="62">
        <v>15.244444444444444</v>
      </c>
      <c r="W152" s="62">
        <v>14.155555555555555</v>
      </c>
      <c r="X152" s="62">
        <v>13.066666666666666</v>
      </c>
      <c r="Y152" s="62">
        <v>11.977777777777776</v>
      </c>
      <c r="Z152" s="514">
        <v>0.21511111111111114</v>
      </c>
      <c r="AA152" s="65"/>
      <c r="AB152" s="42"/>
      <c r="AC152" s="71"/>
      <c r="AD152" s="71"/>
      <c r="AE152" s="71"/>
      <c r="AF152" s="71"/>
      <c r="AG152" s="209"/>
      <c r="AH152" s="62">
        <v>0.7884000000000001</v>
      </c>
      <c r="AI152" s="65"/>
      <c r="AJ152" s="65">
        <v>2019</v>
      </c>
      <c r="AK152" s="522">
        <v>25</v>
      </c>
      <c r="AM152" s="2"/>
      <c r="AN152" s="205" t="str">
        <f t="shared" si="129"/>
        <v>R-SH_Att_ELC_HPN3-G</v>
      </c>
      <c r="AO152" s="205" t="str">
        <f t="shared" si="129"/>
        <v>Residential Electric Heat Pump - Ground to Water - SH - G rated dwelling</v>
      </c>
      <c r="AP152" s="100" t="s">
        <v>13</v>
      </c>
      <c r="AQ152" s="116" t="s">
        <v>119</v>
      </c>
      <c r="AR152" s="100" t="s">
        <v>684</v>
      </c>
      <c r="AT152" s="100" t="s">
        <v>75</v>
      </c>
    </row>
    <row r="153" spans="1:46" ht="12" customHeight="1" thickBot="1" x14ac:dyDescent="0.3">
      <c r="C153" s="519" t="str">
        <f>"R-HC_Att"&amp;"_"&amp;RIGHT(E153,3)&amp;"_HPN2-ABF"</f>
        <v>R-HC_Att_ELC_HPN2-ABF</v>
      </c>
      <c r="D153" s="23" t="s">
        <v>780</v>
      </c>
      <c r="E153" s="24" t="s">
        <v>144</v>
      </c>
      <c r="F153" s="24" t="s">
        <v>796</v>
      </c>
      <c r="G153" s="57" t="s">
        <v>730</v>
      </c>
      <c r="H153" s="22">
        <v>1.0999999999999999</v>
      </c>
      <c r="I153" s="23">
        <v>1.1666666666666667</v>
      </c>
      <c r="J153" s="23">
        <v>1.3333333333333333</v>
      </c>
      <c r="K153" s="57">
        <v>1.5</v>
      </c>
      <c r="L153" s="44">
        <v>0.98999999999999988</v>
      </c>
      <c r="M153" s="32">
        <v>1.05</v>
      </c>
      <c r="N153" s="32">
        <v>1.2</v>
      </c>
      <c r="O153" s="45">
        <v>1.35</v>
      </c>
      <c r="P153" s="22"/>
      <c r="Q153" s="23"/>
      <c r="R153" s="23"/>
      <c r="S153" s="57"/>
      <c r="T153" s="53">
        <v>20</v>
      </c>
      <c r="U153" s="25"/>
      <c r="V153" s="63">
        <v>15.244444444444444</v>
      </c>
      <c r="W153" s="63">
        <v>14.155555555555555</v>
      </c>
      <c r="X153" s="63">
        <v>13.066666666666666</v>
      </c>
      <c r="Y153" s="63">
        <v>11.977777777777776</v>
      </c>
      <c r="Z153" s="514">
        <v>0.21511111111111114</v>
      </c>
      <c r="AA153" s="66"/>
      <c r="AB153" s="44"/>
      <c r="AC153" s="72"/>
      <c r="AD153" s="72"/>
      <c r="AE153" s="72"/>
      <c r="AF153" s="72"/>
      <c r="AG153" s="66"/>
      <c r="AH153" s="63">
        <v>0.7884000000000001</v>
      </c>
      <c r="AI153" s="66"/>
      <c r="AJ153" s="66">
        <v>2019</v>
      </c>
      <c r="AK153" s="520">
        <v>25</v>
      </c>
      <c r="AM153" s="2"/>
      <c r="AN153" s="205" t="str">
        <f t="shared" si="129"/>
        <v>R-HC_Att_ELC_HPN2-AB</v>
      </c>
      <c r="AO153" s="205" t="str">
        <f t="shared" si="129"/>
        <v>Residential Electric Heat Pump AB - Ground to Water - SH + SC - AB rated dwelling</v>
      </c>
      <c r="AP153" s="100" t="s">
        <v>13</v>
      </c>
      <c r="AQ153" s="116" t="s">
        <v>119</v>
      </c>
      <c r="AR153" s="100" t="s">
        <v>684</v>
      </c>
      <c r="AT153" s="100" t="s">
        <v>75</v>
      </c>
    </row>
    <row r="154" spans="1:46" ht="12" customHeight="1" thickBot="1" x14ac:dyDescent="0.3">
      <c r="C154" s="521" t="str">
        <f>"R-HC_Att"&amp;"_"&amp;RIGHT(E154,3)&amp;"_HPN2-ABG"</f>
        <v>R-HC_Att_ELC_HPN2-ABG</v>
      </c>
      <c r="D154" s="29" t="s">
        <v>781</v>
      </c>
      <c r="E154" s="30" t="s">
        <v>144</v>
      </c>
      <c r="F154" s="112" t="s">
        <v>796</v>
      </c>
      <c r="G154" s="58" t="s">
        <v>731</v>
      </c>
      <c r="H154" s="40">
        <v>1.0999999999999999</v>
      </c>
      <c r="I154" s="29">
        <v>1.1666666666666667</v>
      </c>
      <c r="J154" s="29">
        <v>1.3333333333333333</v>
      </c>
      <c r="K154" s="58">
        <v>1.5</v>
      </c>
      <c r="L154" s="42">
        <v>0.98999999999999988</v>
      </c>
      <c r="M154" s="31">
        <v>1.05</v>
      </c>
      <c r="N154" s="31">
        <v>1.2</v>
      </c>
      <c r="O154" s="43">
        <v>1.35</v>
      </c>
      <c r="P154" s="40"/>
      <c r="Q154" s="29"/>
      <c r="R154" s="29"/>
      <c r="S154" s="58"/>
      <c r="T154" s="54">
        <v>20</v>
      </c>
      <c r="U154" s="41"/>
      <c r="V154" s="62">
        <v>15.244444444444444</v>
      </c>
      <c r="W154" s="62">
        <v>14.155555555555555</v>
      </c>
      <c r="X154" s="62">
        <v>13.066666666666666</v>
      </c>
      <c r="Y154" s="62">
        <v>11.977777777777776</v>
      </c>
      <c r="Z154" s="514">
        <v>0.21511111111111114</v>
      </c>
      <c r="AA154" s="65"/>
      <c r="AB154" s="42"/>
      <c r="AC154" s="71"/>
      <c r="AD154" s="71"/>
      <c r="AE154" s="71"/>
      <c r="AF154" s="71"/>
      <c r="AG154" s="209"/>
      <c r="AH154" s="62">
        <v>0.7884000000000001</v>
      </c>
      <c r="AI154" s="65"/>
      <c r="AJ154" s="65">
        <v>2019</v>
      </c>
      <c r="AK154" s="522">
        <v>25</v>
      </c>
      <c r="AM154" s="2"/>
      <c r="AN154" s="205" t="str">
        <f t="shared" ref="AN154:AO154" si="131">C150</f>
        <v>R-HC_Att_ELC_HPN2-ABC</v>
      </c>
      <c r="AO154" s="205" t="str">
        <f t="shared" si="131"/>
        <v>Residential Electric Heat Pump AB - Ground to Water - SH + SC -  C rated dwelling</v>
      </c>
      <c r="AP154" s="100" t="s">
        <v>13</v>
      </c>
      <c r="AQ154" s="116" t="s">
        <v>119</v>
      </c>
      <c r="AR154" s="100" t="s">
        <v>684</v>
      </c>
      <c r="AS154" s="4"/>
      <c r="AT154" s="100" t="s">
        <v>75</v>
      </c>
    </row>
    <row r="155" spans="1:46" ht="12" customHeight="1" thickBot="1" x14ac:dyDescent="0.3">
      <c r="C155" s="519" t="str">
        <f>"R-HC_Att"&amp;"_"&amp;RIGHT(E155,3)&amp;"_HPN2-C"</f>
        <v>R-HC_Att_ELC_HPN2-C</v>
      </c>
      <c r="D155" s="23" t="s">
        <v>636</v>
      </c>
      <c r="E155" s="24" t="s">
        <v>144</v>
      </c>
      <c r="F155" s="555" t="s">
        <v>796</v>
      </c>
      <c r="G155" s="57" t="s">
        <v>727</v>
      </c>
      <c r="H155" s="22">
        <f t="shared" ref="H155:K159" si="132">H144</f>
        <v>1.0190690690690689</v>
      </c>
      <c r="I155" s="23">
        <f t="shared" si="132"/>
        <v>1.0808308308308308</v>
      </c>
      <c r="J155" s="23">
        <f t="shared" si="132"/>
        <v>1.2352352352352352</v>
      </c>
      <c r="K155" s="57">
        <f t="shared" si="132"/>
        <v>1.3896396396396395</v>
      </c>
      <c r="L155" s="44">
        <f t="shared" ref="L155:L159" si="133">H155*0.9</f>
        <v>0.91716216216216206</v>
      </c>
      <c r="M155" s="32">
        <f t="shared" si="130"/>
        <v>0.97274774774774775</v>
      </c>
      <c r="N155" s="32">
        <f t="shared" si="130"/>
        <v>1.1117117117117117</v>
      </c>
      <c r="O155" s="45">
        <f t="shared" si="130"/>
        <v>1.2506756756756756</v>
      </c>
      <c r="P155" s="22"/>
      <c r="Q155" s="23"/>
      <c r="R155" s="23"/>
      <c r="S155" s="57"/>
      <c r="T155" s="53">
        <v>20</v>
      </c>
      <c r="U155" s="25"/>
      <c r="V155" s="63">
        <f t="shared" ref="V155:Y159" si="134">V26/$V$20*$V$149</f>
        <v>16.072267708157526</v>
      </c>
      <c r="W155" s="63">
        <f t="shared" si="134"/>
        <v>16.072267708157526</v>
      </c>
      <c r="X155" s="63">
        <f t="shared" si="134"/>
        <v>14.547823263713081</v>
      </c>
      <c r="Y155" s="63">
        <f t="shared" si="134"/>
        <v>14.547823263713081</v>
      </c>
      <c r="Z155" s="514">
        <v>0.21511111111111114</v>
      </c>
      <c r="AA155" s="66"/>
      <c r="AB155" s="44"/>
      <c r="AC155" s="72"/>
      <c r="AD155" s="72"/>
      <c r="AE155" s="72"/>
      <c r="AF155" s="72"/>
      <c r="AG155" s="66"/>
      <c r="AH155" s="63">
        <f t="shared" ref="AH155:AH159" si="135">31.536*(AK155/1000)</f>
        <v>0.7884000000000001</v>
      </c>
      <c r="AI155" s="66"/>
      <c r="AJ155" s="24">
        <f>IF($A$2="No",2100,2019)</f>
        <v>2100</v>
      </c>
      <c r="AK155" s="520">
        <v>25</v>
      </c>
      <c r="AM155" s="2"/>
      <c r="AN155" s="205" t="str">
        <f t="shared" ref="AN155:AO155" si="136">C151</f>
        <v>R-HC_Att_ELC_HPN2-ABD</v>
      </c>
      <c r="AO155" s="205" t="str">
        <f t="shared" si="136"/>
        <v>Residential Electric Heat Pump AB - Ground to Water - SH + SC - D rated dwelling</v>
      </c>
      <c r="AP155" s="100" t="s">
        <v>13</v>
      </c>
      <c r="AQ155" s="116" t="s">
        <v>119</v>
      </c>
      <c r="AR155" s="100" t="s">
        <v>684</v>
      </c>
      <c r="AS155" s="4"/>
      <c r="AT155" s="100" t="s">
        <v>75</v>
      </c>
    </row>
    <row r="156" spans="1:46" ht="12" customHeight="1" thickBot="1" x14ac:dyDescent="0.3">
      <c r="C156" s="521" t="str">
        <f>"R-HC_Att"&amp;"_"&amp;RIGHT(E156,3)&amp;"_HPN2-D"</f>
        <v>R-HC_Att_ELC_HPN2-D</v>
      </c>
      <c r="D156" s="29" t="s">
        <v>637</v>
      </c>
      <c r="E156" s="30" t="s">
        <v>144</v>
      </c>
      <c r="F156" s="30" t="s">
        <v>796</v>
      </c>
      <c r="G156" s="58" t="s">
        <v>728</v>
      </c>
      <c r="H156" s="40">
        <f t="shared" si="132"/>
        <v>0.93813813813813796</v>
      </c>
      <c r="I156" s="29">
        <f t="shared" si="132"/>
        <v>0.994994994994995</v>
      </c>
      <c r="J156" s="29">
        <f t="shared" si="132"/>
        <v>1.137137137137137</v>
      </c>
      <c r="K156" s="58">
        <f t="shared" si="132"/>
        <v>1.2792792792792793</v>
      </c>
      <c r="L156" s="42">
        <f t="shared" si="133"/>
        <v>0.84432432432432414</v>
      </c>
      <c r="M156" s="31">
        <f t="shared" si="130"/>
        <v>0.89549549549549556</v>
      </c>
      <c r="N156" s="31">
        <f t="shared" si="130"/>
        <v>1.0234234234234234</v>
      </c>
      <c r="O156" s="43">
        <f t="shared" si="130"/>
        <v>1.1513513513513514</v>
      </c>
      <c r="P156" s="40"/>
      <c r="Q156" s="29"/>
      <c r="R156" s="29"/>
      <c r="S156" s="58"/>
      <c r="T156" s="54">
        <v>20</v>
      </c>
      <c r="U156" s="41"/>
      <c r="V156" s="62">
        <f t="shared" si="134"/>
        <v>16.900090971870604</v>
      </c>
      <c r="W156" s="62">
        <f t="shared" si="134"/>
        <v>16.900090971870604</v>
      </c>
      <c r="X156" s="62">
        <f t="shared" si="134"/>
        <v>15.375646527426159</v>
      </c>
      <c r="Y156" s="62">
        <f t="shared" si="134"/>
        <v>15.375646527426159</v>
      </c>
      <c r="Z156" s="514">
        <v>0.21511111111111114</v>
      </c>
      <c r="AA156" s="65"/>
      <c r="AB156" s="42"/>
      <c r="AC156" s="71"/>
      <c r="AD156" s="71"/>
      <c r="AE156" s="71"/>
      <c r="AF156" s="71"/>
      <c r="AG156" s="209"/>
      <c r="AH156" s="62">
        <f t="shared" si="135"/>
        <v>0.7884000000000001</v>
      </c>
      <c r="AI156" s="65"/>
      <c r="AJ156" s="24">
        <f t="shared" ref="AJ156:AJ159" si="137">IF($A$2="No",2100,2019)</f>
        <v>2100</v>
      </c>
      <c r="AK156" s="522">
        <v>25</v>
      </c>
      <c r="AM156" s="2"/>
      <c r="AN156" s="205" t="str">
        <f t="shared" ref="AN156:AO156" si="138">C152</f>
        <v>R-HC_Att_ELC_HPN2-ABE</v>
      </c>
      <c r="AO156" s="205" t="str">
        <f t="shared" si="138"/>
        <v>Residential Electric Heat Pump AB - Ground to Water - SH + SC - E rated dwelling</v>
      </c>
      <c r="AP156" s="100" t="s">
        <v>13</v>
      </c>
      <c r="AQ156" s="116" t="s">
        <v>119</v>
      </c>
      <c r="AR156" s="100" t="s">
        <v>684</v>
      </c>
      <c r="AS156" s="4"/>
      <c r="AT156" s="100" t="s">
        <v>75</v>
      </c>
    </row>
    <row r="157" spans="1:46" ht="12" customHeight="1" thickBot="1" x14ac:dyDescent="0.3">
      <c r="C157" s="519" t="str">
        <f>"R-HC_Att"&amp;"_"&amp;RIGHT(E157,3)&amp;"_HPN2-E"</f>
        <v>R-HC_Att_ELC_HPN2-E</v>
      </c>
      <c r="D157" s="23" t="s">
        <v>638</v>
      </c>
      <c r="E157" s="24" t="s">
        <v>144</v>
      </c>
      <c r="F157" s="24" t="s">
        <v>796</v>
      </c>
      <c r="G157" s="57" t="s">
        <v>729</v>
      </c>
      <c r="H157" s="22">
        <f t="shared" si="132"/>
        <v>0.8841841841841841</v>
      </c>
      <c r="I157" s="23">
        <f t="shared" si="132"/>
        <v>0.93777110443777112</v>
      </c>
      <c r="J157" s="23">
        <f t="shared" si="132"/>
        <v>0</v>
      </c>
      <c r="K157" s="57">
        <f t="shared" si="132"/>
        <v>1.2057057057057057</v>
      </c>
      <c r="L157" s="44">
        <f t="shared" si="133"/>
        <v>0.79576576576576574</v>
      </c>
      <c r="M157" s="32">
        <f t="shared" si="130"/>
        <v>0.843993993993994</v>
      </c>
      <c r="N157" s="32">
        <f t="shared" si="130"/>
        <v>0</v>
      </c>
      <c r="O157" s="45">
        <f t="shared" si="130"/>
        <v>1.085135135135135</v>
      </c>
      <c r="P157" s="22"/>
      <c r="Q157" s="23"/>
      <c r="R157" s="23"/>
      <c r="S157" s="57"/>
      <c r="T157" s="53">
        <v>20</v>
      </c>
      <c r="U157" s="25"/>
      <c r="V157" s="63">
        <f t="shared" si="134"/>
        <v>17.752999789029538</v>
      </c>
      <c r="W157" s="63">
        <f t="shared" si="134"/>
        <v>17.752999789029538</v>
      </c>
      <c r="X157" s="63">
        <f t="shared" si="134"/>
        <v>16.228555344585089</v>
      </c>
      <c r="Y157" s="63">
        <f t="shared" si="134"/>
        <v>16.228555344585089</v>
      </c>
      <c r="Z157" s="514">
        <v>0.21511111111111114</v>
      </c>
      <c r="AA157" s="66"/>
      <c r="AB157" s="44"/>
      <c r="AC157" s="72"/>
      <c r="AD157" s="72"/>
      <c r="AE157" s="72"/>
      <c r="AF157" s="72"/>
      <c r="AG157" s="66"/>
      <c r="AH157" s="63">
        <f t="shared" si="135"/>
        <v>0.7884000000000001</v>
      </c>
      <c r="AI157" s="66"/>
      <c r="AJ157" s="24">
        <f t="shared" si="137"/>
        <v>2100</v>
      </c>
      <c r="AK157" s="520">
        <v>25</v>
      </c>
      <c r="AM157" s="2"/>
      <c r="AN157" s="205" t="str">
        <f t="shared" ref="AN157:AO157" si="139">C153</f>
        <v>R-HC_Att_ELC_HPN2-ABF</v>
      </c>
      <c r="AO157" s="205" t="str">
        <f t="shared" si="139"/>
        <v>Residential Electric Heat Pump AB - Ground to Water - SH + SC - F rated dwelling</v>
      </c>
      <c r="AP157" s="100" t="s">
        <v>13</v>
      </c>
      <c r="AQ157" s="116" t="s">
        <v>119</v>
      </c>
      <c r="AR157" s="100" t="s">
        <v>684</v>
      </c>
      <c r="AS157" s="4"/>
      <c r="AT157" s="100" t="s">
        <v>75</v>
      </c>
    </row>
    <row r="158" spans="1:46" ht="12" customHeight="1" thickBot="1" x14ac:dyDescent="0.3">
      <c r="C158" s="521" t="str">
        <f>"R-HC_Att"&amp;"_"&amp;RIGHT(E158,3)&amp;"_HPN2-F"</f>
        <v>R-HC_Att_ELC_HPN2-F</v>
      </c>
      <c r="D158" s="29" t="s">
        <v>639</v>
      </c>
      <c r="E158" s="30" t="s">
        <v>144</v>
      </c>
      <c r="F158" s="30" t="s">
        <v>796</v>
      </c>
      <c r="G158" s="58" t="s">
        <v>730</v>
      </c>
      <c r="H158" s="40">
        <f t="shared" si="132"/>
        <v>0.83023023023023013</v>
      </c>
      <c r="I158" s="29">
        <f t="shared" si="132"/>
        <v>0.88054721388054724</v>
      </c>
      <c r="J158" s="29">
        <f t="shared" si="132"/>
        <v>0</v>
      </c>
      <c r="K158" s="58">
        <f t="shared" si="132"/>
        <v>1.132132132132132</v>
      </c>
      <c r="L158" s="42">
        <f t="shared" si="133"/>
        <v>0.74720720720720712</v>
      </c>
      <c r="M158" s="31">
        <f t="shared" si="130"/>
        <v>0.79249249249249254</v>
      </c>
      <c r="N158" s="31">
        <f t="shared" si="130"/>
        <v>0</v>
      </c>
      <c r="O158" s="43">
        <f t="shared" si="130"/>
        <v>1.0189189189189189</v>
      </c>
      <c r="P158" s="40"/>
      <c r="Q158" s="29"/>
      <c r="R158" s="29"/>
      <c r="S158" s="58"/>
      <c r="T158" s="54">
        <v>20</v>
      </c>
      <c r="U158" s="41"/>
      <c r="V158" s="62">
        <f t="shared" si="134"/>
        <v>18.015833790436005</v>
      </c>
      <c r="W158" s="62">
        <f t="shared" si="134"/>
        <v>18.015833790436005</v>
      </c>
      <c r="X158" s="62">
        <f t="shared" si="134"/>
        <v>16.491389345991561</v>
      </c>
      <c r="Y158" s="62">
        <f t="shared" si="134"/>
        <v>16.491389345991561</v>
      </c>
      <c r="Z158" s="514">
        <v>0.21511111111111114</v>
      </c>
      <c r="AA158" s="65"/>
      <c r="AB158" s="42"/>
      <c r="AC158" s="71"/>
      <c r="AD158" s="71"/>
      <c r="AE158" s="71"/>
      <c r="AF158" s="71"/>
      <c r="AG158" s="209"/>
      <c r="AH158" s="62">
        <f t="shared" si="135"/>
        <v>0.7884000000000001</v>
      </c>
      <c r="AI158" s="65"/>
      <c r="AJ158" s="24">
        <f t="shared" si="137"/>
        <v>2100</v>
      </c>
      <c r="AK158" s="522">
        <v>25</v>
      </c>
      <c r="AM158" s="2"/>
      <c r="AN158" s="205" t="str">
        <f t="shared" ref="AN158:AO158" si="140">C154</f>
        <v>R-HC_Att_ELC_HPN2-ABG</v>
      </c>
      <c r="AO158" s="205" t="str">
        <f t="shared" si="140"/>
        <v>Residential Electric Heat Pump AB - Ground to Water - SH + SC - G rated dwelling</v>
      </c>
      <c r="AP158" s="100" t="s">
        <v>13</v>
      </c>
      <c r="AQ158" s="116" t="s">
        <v>119</v>
      </c>
      <c r="AR158" s="100" t="s">
        <v>684</v>
      </c>
      <c r="AS158" s="4"/>
      <c r="AT158" s="100" t="s">
        <v>75</v>
      </c>
    </row>
    <row r="159" spans="1:46" ht="12" customHeight="1" thickBot="1" x14ac:dyDescent="0.3">
      <c r="C159" s="523" t="str">
        <f>"R-HC_Att"&amp;"_"&amp;RIGHT(E159,3)&amp;"_HPN2-G"</f>
        <v>R-HC_Att_ELC_HPN2-G</v>
      </c>
      <c r="D159" s="526" t="s">
        <v>640</v>
      </c>
      <c r="E159" s="524" t="s">
        <v>144</v>
      </c>
      <c r="F159" s="24" t="s">
        <v>796</v>
      </c>
      <c r="G159" s="527" t="s">
        <v>731</v>
      </c>
      <c r="H159" s="525">
        <f t="shared" si="132"/>
        <v>0.77627627627627616</v>
      </c>
      <c r="I159" s="526">
        <f t="shared" si="132"/>
        <v>0.82332332332332336</v>
      </c>
      <c r="J159" s="526">
        <f t="shared" si="132"/>
        <v>0.79979979979979976</v>
      </c>
      <c r="K159" s="527">
        <f t="shared" si="132"/>
        <v>1.0585585585585586</v>
      </c>
      <c r="L159" s="578">
        <f t="shared" si="133"/>
        <v>0.69864864864864851</v>
      </c>
      <c r="M159" s="542">
        <f t="shared" si="130"/>
        <v>0.74099099099099108</v>
      </c>
      <c r="N159" s="542">
        <f t="shared" si="130"/>
        <v>0.7198198198198198</v>
      </c>
      <c r="O159" s="579">
        <f t="shared" si="130"/>
        <v>0.95270270270270274</v>
      </c>
      <c r="P159" s="525"/>
      <c r="Q159" s="526"/>
      <c r="R159" s="526"/>
      <c r="S159" s="527"/>
      <c r="T159" s="580">
        <v>20</v>
      </c>
      <c r="U159" s="581"/>
      <c r="V159" s="528">
        <f t="shared" si="134"/>
        <v>18.278667791842476</v>
      </c>
      <c r="W159" s="528">
        <f t="shared" si="134"/>
        <v>18.278667791842476</v>
      </c>
      <c r="X159" s="528">
        <f t="shared" si="134"/>
        <v>16.754223347398032</v>
      </c>
      <c r="Y159" s="528">
        <f t="shared" si="134"/>
        <v>16.754223347398032</v>
      </c>
      <c r="Z159" s="514">
        <v>0.21511111111111114</v>
      </c>
      <c r="AA159" s="529"/>
      <c r="AB159" s="578"/>
      <c r="AC159" s="530"/>
      <c r="AD159" s="530"/>
      <c r="AE159" s="530"/>
      <c r="AF159" s="530"/>
      <c r="AG159" s="529"/>
      <c r="AH159" s="528">
        <f t="shared" si="135"/>
        <v>0.7884000000000001</v>
      </c>
      <c r="AI159" s="529"/>
      <c r="AJ159" s="24">
        <f t="shared" si="137"/>
        <v>2100</v>
      </c>
      <c r="AK159" s="531">
        <v>25</v>
      </c>
      <c r="AM159" s="2"/>
      <c r="AN159" s="205" t="str">
        <f t="shared" ref="AN159:AO163" si="141">C155</f>
        <v>R-HC_Att_ELC_HPN2-C</v>
      </c>
      <c r="AO159" s="205" t="str">
        <f t="shared" si="141"/>
        <v>Residential Electric Heat Pump - Ground to Water - SH + SC - C rated dwelling</v>
      </c>
      <c r="AP159" s="100" t="s">
        <v>13</v>
      </c>
      <c r="AQ159" s="116" t="s">
        <v>119</v>
      </c>
      <c r="AR159" s="100" t="s">
        <v>684</v>
      </c>
      <c r="AT159" s="100" t="s">
        <v>75</v>
      </c>
    </row>
    <row r="160" spans="1:46" ht="12" customHeight="1" x14ac:dyDescent="0.25">
      <c r="C160" s="33" t="s">
        <v>256</v>
      </c>
      <c r="D160" s="33"/>
      <c r="E160" s="34"/>
      <c r="F160" s="34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4"/>
      <c r="U160" s="34"/>
      <c r="V160" s="33"/>
      <c r="W160" s="33"/>
      <c r="X160" s="33"/>
      <c r="Y160" s="33"/>
      <c r="Z160" s="33"/>
      <c r="AA160" s="444"/>
      <c r="AB160" s="36"/>
      <c r="AC160" s="36"/>
      <c r="AD160" s="36"/>
      <c r="AE160" s="36"/>
      <c r="AF160" s="36"/>
      <c r="AG160" s="36"/>
      <c r="AH160" s="33"/>
      <c r="AI160" s="34"/>
      <c r="AJ160" s="34"/>
      <c r="AK160" s="34"/>
      <c r="AM160" s="2"/>
      <c r="AN160" s="205" t="str">
        <f t="shared" si="141"/>
        <v>R-HC_Att_ELC_HPN2-D</v>
      </c>
      <c r="AO160" s="205" t="str">
        <f t="shared" si="141"/>
        <v>Residential Electric Heat Pump - Ground to Water - SH + SC - D rated dwelling</v>
      </c>
      <c r="AP160" s="100" t="s">
        <v>13</v>
      </c>
      <c r="AQ160" s="116" t="s">
        <v>119</v>
      </c>
      <c r="AR160" s="100" t="s">
        <v>684</v>
      </c>
      <c r="AT160" s="100" t="s">
        <v>75</v>
      </c>
    </row>
    <row r="161" spans="3:46" ht="12" customHeight="1" x14ac:dyDescent="0.25">
      <c r="C161" s="19" t="str">
        <f>"R-SW_Att"&amp;"_"&amp;RIGHT(E161,3)&amp;"_HPN1"</f>
        <v>R-SW_Att_GAS_HPN1</v>
      </c>
      <c r="D161" s="20" t="s">
        <v>111</v>
      </c>
      <c r="E161" s="88" t="s">
        <v>599</v>
      </c>
      <c r="F161" s="88" t="s">
        <v>565</v>
      </c>
      <c r="G161" s="88" t="s">
        <v>620</v>
      </c>
      <c r="H161" s="349">
        <f>JRC_Data!AC28/0.81</f>
        <v>1.6666666666666667</v>
      </c>
      <c r="I161" s="349">
        <f>JRC_Data!AD28/0.81</f>
        <v>1.7901234567901232</v>
      </c>
      <c r="J161" s="349">
        <f>JRC_Data!AE28/0.81</f>
        <v>2.0987654320987654</v>
      </c>
      <c r="K161" s="349">
        <f>JRC_Data!AF28/0.81</f>
        <v>2.0987654320987654</v>
      </c>
      <c r="L161" s="46"/>
      <c r="M161" s="47"/>
      <c r="N161" s="47"/>
      <c r="O161" s="48"/>
      <c r="P161" s="19">
        <f>H161*0.7</f>
        <v>1.1666666666666667</v>
      </c>
      <c r="Q161" s="20">
        <f t="shared" ref="Q161:Q162" si="142">I161*0.7</f>
        <v>1.2530864197530862</v>
      </c>
      <c r="R161" s="20">
        <f t="shared" ref="R161:R162" si="143">J161*0.7</f>
        <v>1.4691358024691357</v>
      </c>
      <c r="S161" s="56">
        <f t="shared" ref="S161:S162" si="144">K161*0.7</f>
        <v>1.4691358024691357</v>
      </c>
      <c r="T161" s="88">
        <v>20</v>
      </c>
      <c r="U161" s="48"/>
      <c r="V161" s="19">
        <f>(JRC_Data!BB28/1000)*($U$289/$U$290)</f>
        <v>14.756756756756756</v>
      </c>
      <c r="W161" s="19">
        <f>(JRC_Data!BC28/1000)*($U$289/$U$290)</f>
        <v>13.810810810810811</v>
      </c>
      <c r="X161" s="19">
        <f>(JRC_Data!BD28/1000)*($U$289/$U$290)</f>
        <v>11.918918918918919</v>
      </c>
      <c r="Y161" s="84">
        <f>(JRC_Data!BE28/1000)*($U$289/$U$290)</f>
        <v>11.918918918918919</v>
      </c>
      <c r="Z161" s="84">
        <f>JRC_Data!BL28/1000</f>
        <v>0.23499999999999999</v>
      </c>
      <c r="AA161" s="84"/>
      <c r="AB161" s="56"/>
      <c r="AC161" s="84"/>
      <c r="AD161" s="84"/>
      <c r="AE161" s="84"/>
      <c r="AF161" s="72">
        <v>0.01</v>
      </c>
      <c r="AG161" s="84"/>
      <c r="AH161" s="84">
        <f t="shared" si="67"/>
        <v>0.7884000000000001</v>
      </c>
      <c r="AI161" s="87"/>
      <c r="AJ161" s="87">
        <v>2019</v>
      </c>
      <c r="AK161" s="87">
        <v>25</v>
      </c>
      <c r="AM161" s="2"/>
      <c r="AN161" s="205" t="str">
        <f t="shared" si="141"/>
        <v>R-HC_Att_ELC_HPN2-E</v>
      </c>
      <c r="AO161" s="205" t="str">
        <f t="shared" si="141"/>
        <v>Residential Electric Heat Pump - Ground to Water - SH + SC - E rated dwelling</v>
      </c>
      <c r="AP161" s="100" t="s">
        <v>13</v>
      </c>
      <c r="AQ161" s="116" t="s">
        <v>119</v>
      </c>
      <c r="AR161" s="100" t="s">
        <v>684</v>
      </c>
      <c r="AT161" s="100" t="s">
        <v>75</v>
      </c>
    </row>
    <row r="162" spans="3:46" ht="12" customHeight="1" x14ac:dyDescent="0.25">
      <c r="C162" s="226" t="str">
        <f>"R-SW_Att"&amp;"_"&amp;RIGHT(E162,3)&amp;"_HPN2"</f>
        <v>R-SW_Att_GAS_HPN2</v>
      </c>
      <c r="D162" s="26" t="s">
        <v>112</v>
      </c>
      <c r="E162" s="27" t="s">
        <v>599</v>
      </c>
      <c r="F162" s="27" t="s">
        <v>565</v>
      </c>
      <c r="G162" s="27" t="s">
        <v>620</v>
      </c>
      <c r="H162" s="350">
        <f>JRC_Data!AC30/0.9</f>
        <v>1.6666666666666665</v>
      </c>
      <c r="I162" s="350">
        <f>JRC_Data!AD30/0.9</f>
        <v>1.7222222222222223</v>
      </c>
      <c r="J162" s="350">
        <f>JRC_Data!AE30/0.9</f>
        <v>1.7222222222222223</v>
      </c>
      <c r="K162" s="350">
        <f>JRC_Data!AF30/0.9</f>
        <v>1.7777777777777779</v>
      </c>
      <c r="L162" s="49"/>
      <c r="M162" s="50"/>
      <c r="N162" s="50"/>
      <c r="O162" s="51"/>
      <c r="P162" s="226">
        <f>H162*0.7</f>
        <v>1.1666666666666665</v>
      </c>
      <c r="Q162" s="26">
        <f t="shared" si="142"/>
        <v>1.2055555555555555</v>
      </c>
      <c r="R162" s="26">
        <f t="shared" si="143"/>
        <v>1.2055555555555555</v>
      </c>
      <c r="S162" s="59">
        <f t="shared" si="144"/>
        <v>1.2444444444444445</v>
      </c>
      <c r="T162" s="27">
        <v>15</v>
      </c>
      <c r="U162" s="51"/>
      <c r="V162" s="226">
        <f>(JRC_Data!BB30/1000)*($U$289/$U$290)</f>
        <v>44.932432432432435</v>
      </c>
      <c r="W162" s="226">
        <f>(JRC_Data!BC30/1000)*($U$289/$U$290)</f>
        <v>44.932432432432435</v>
      </c>
      <c r="X162" s="226">
        <f>(JRC_Data!BD30/1000)*($U$289/$U$290)</f>
        <v>44.932432432432435</v>
      </c>
      <c r="Y162" s="64">
        <f>(JRC_Data!BE30/1000)*($U$289/$U$290)</f>
        <v>44.932432432432435</v>
      </c>
      <c r="Z162" s="64">
        <f>JRC_Data!BL28/1000</f>
        <v>0.23499999999999999</v>
      </c>
      <c r="AA162" s="64"/>
      <c r="AB162" s="59"/>
      <c r="AC162" s="64"/>
      <c r="AD162" s="64"/>
      <c r="AE162" s="64"/>
      <c r="AF162" s="72">
        <v>0.01</v>
      </c>
      <c r="AG162" s="64"/>
      <c r="AH162" s="64">
        <f>31.536*(AK162/1000)</f>
        <v>0.7884000000000001</v>
      </c>
      <c r="AI162" s="67"/>
      <c r="AJ162" s="67">
        <v>2019</v>
      </c>
      <c r="AK162" s="67">
        <v>25</v>
      </c>
      <c r="AM162" s="2"/>
      <c r="AN162" s="205" t="str">
        <f t="shared" si="141"/>
        <v>R-HC_Att_ELC_HPN2-F</v>
      </c>
      <c r="AO162" s="205" t="str">
        <f t="shared" si="141"/>
        <v>Residential Electric Heat Pump - Ground to Water - SH + SC - F rated dwelling</v>
      </c>
      <c r="AP162" s="100" t="s">
        <v>13</v>
      </c>
      <c r="AQ162" s="116" t="s">
        <v>119</v>
      </c>
      <c r="AR162" s="100" t="s">
        <v>684</v>
      </c>
      <c r="AT162" s="100" t="s">
        <v>75</v>
      </c>
    </row>
    <row r="163" spans="3:46" ht="12" customHeight="1" x14ac:dyDescent="0.25">
      <c r="C163" s="33" t="s">
        <v>108</v>
      </c>
      <c r="D163" s="33"/>
      <c r="E163" s="34"/>
      <c r="F163" s="34"/>
      <c r="G163" s="34"/>
      <c r="H163" s="34"/>
      <c r="I163" s="34"/>
      <c r="J163" s="34"/>
      <c r="K163" s="34"/>
      <c r="L163" s="35"/>
      <c r="M163" s="35"/>
      <c r="N163" s="35"/>
      <c r="O163" s="35"/>
      <c r="P163" s="33"/>
      <c r="Q163" s="33"/>
      <c r="R163" s="33"/>
      <c r="S163" s="33"/>
      <c r="T163" s="34"/>
      <c r="U163" s="34"/>
      <c r="V163" s="33"/>
      <c r="W163" s="33"/>
      <c r="X163" s="33"/>
      <c r="Y163" s="33"/>
      <c r="Z163" s="33"/>
      <c r="AA163" s="34"/>
      <c r="AB163" s="36"/>
      <c r="AC163" s="36"/>
      <c r="AD163" s="36"/>
      <c r="AE163" s="36"/>
      <c r="AF163" s="36"/>
      <c r="AG163" s="36"/>
      <c r="AH163" s="33"/>
      <c r="AI163" s="34"/>
      <c r="AJ163" s="34"/>
      <c r="AK163" s="34"/>
      <c r="AM163" s="2"/>
      <c r="AN163" s="205" t="str">
        <f t="shared" si="141"/>
        <v>R-HC_Att_ELC_HPN2-G</v>
      </c>
      <c r="AO163" s="205" t="str">
        <f t="shared" si="141"/>
        <v>Residential Electric Heat Pump - Ground to Water - SH + SC - G rated dwelling</v>
      </c>
      <c r="AP163" s="100" t="s">
        <v>13</v>
      </c>
      <c r="AQ163" s="116" t="s">
        <v>119</v>
      </c>
      <c r="AR163" s="100" t="s">
        <v>684</v>
      </c>
      <c r="AT163" s="100" t="s">
        <v>75</v>
      </c>
    </row>
    <row r="164" spans="3:46" ht="12" customHeight="1" x14ac:dyDescent="0.25">
      <c r="C164" s="92" t="str">
        <f>"R-SW_Att"&amp;"_"&amp;RIGHT(E164,3)&amp;"_HHPN1"</f>
        <v>R-SW_Att_GAS_HHPN1</v>
      </c>
      <c r="D164" s="79" t="s">
        <v>118</v>
      </c>
      <c r="E164" s="114" t="s">
        <v>600</v>
      </c>
      <c r="F164" s="114" t="s">
        <v>565</v>
      </c>
      <c r="G164" s="94" t="s">
        <v>620</v>
      </c>
      <c r="H164" s="349">
        <f>1*$AD$68+JRC_Data!AD18*(1.3-$AD$68)</f>
        <v>3.4850000000000003</v>
      </c>
      <c r="I164" s="349">
        <f>1*$AD$68+JRC_Data!AE18*(1.3-$AD$68)</f>
        <v>3.8650000000000007</v>
      </c>
      <c r="J164" s="349">
        <f>1*$AD$68+JRC_Data!AF18*(1.3-$AD$68)</f>
        <v>4.1500000000000004</v>
      </c>
      <c r="K164" s="349">
        <f>1*$AD$68+JRC_Data!AG18*(1.3-$AD$68)</f>
        <v>4.1500000000000004</v>
      </c>
      <c r="L164" s="49"/>
      <c r="M164" s="50"/>
      <c r="N164" s="50"/>
      <c r="O164" s="51"/>
      <c r="P164" s="226">
        <f>H164*0.7</f>
        <v>2.4395000000000002</v>
      </c>
      <c r="Q164" s="26">
        <f t="shared" ref="Q164" si="145">I164*0.7</f>
        <v>2.7055000000000002</v>
      </c>
      <c r="R164" s="26">
        <f t="shared" ref="R164" si="146">J164*0.7</f>
        <v>2.9050000000000002</v>
      </c>
      <c r="S164" s="59">
        <f t="shared" ref="S164" si="147">K164*0.7</f>
        <v>2.9050000000000002</v>
      </c>
      <c r="T164" s="3">
        <v>20</v>
      </c>
      <c r="V164" s="78">
        <f>(V116+V89)*0.8</f>
        <v>11.343342516069791</v>
      </c>
      <c r="W164" s="78">
        <f>(W116+W89)*0.8</f>
        <v>11.343342516069791</v>
      </c>
      <c r="X164" s="78">
        <f>(X116+X89)*0.8</f>
        <v>10.472231404958679</v>
      </c>
      <c r="Y164" s="78">
        <f>(Y116+Y89)*0.8</f>
        <v>10.472231404958679</v>
      </c>
      <c r="Z164" s="344">
        <f>(JRC_Data!BL9+JRC_Data!BL18)*0.8/1000</f>
        <v>0.308</v>
      </c>
      <c r="AA164" s="82"/>
      <c r="AB164" s="83"/>
      <c r="AC164" s="83"/>
      <c r="AD164" s="83">
        <v>0.35</v>
      </c>
      <c r="AE164" s="72">
        <f>AD164</f>
        <v>0.35</v>
      </c>
      <c r="AF164" s="72"/>
      <c r="AG164" s="82">
        <v>5</v>
      </c>
      <c r="AH164" s="81">
        <f t="shared" si="67"/>
        <v>0.7884000000000001</v>
      </c>
      <c r="AI164" s="82"/>
      <c r="AJ164" s="82">
        <v>2019</v>
      </c>
      <c r="AK164" s="82">
        <f>AK89*AD164+AK127*(1-AD164)</f>
        <v>25</v>
      </c>
      <c r="AM164" s="2"/>
      <c r="AN164" s="205" t="str">
        <f>C161</f>
        <v>R-SW_Att_GAS_HPN1</v>
      </c>
      <c r="AO164" s="205" t="str">
        <f>D161</f>
        <v>Residential Gas Absorption Heat Pump - Air to Water - SH + WH</v>
      </c>
      <c r="AP164" s="100" t="s">
        <v>13</v>
      </c>
      <c r="AQ164" s="116" t="s">
        <v>119</v>
      </c>
      <c r="AR164" s="100"/>
      <c r="AT164" s="100" t="s">
        <v>75</v>
      </c>
    </row>
    <row r="165" spans="3:46" ht="12" customHeight="1" x14ac:dyDescent="0.25">
      <c r="C165" s="33" t="s">
        <v>113</v>
      </c>
      <c r="D165" s="33"/>
      <c r="E165" s="34"/>
      <c r="F165" s="34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4"/>
      <c r="U165" s="34"/>
      <c r="V165" s="33"/>
      <c r="W165" s="33"/>
      <c r="X165" s="33"/>
      <c r="Y165" s="33"/>
      <c r="Z165" s="33"/>
      <c r="AA165" s="34"/>
      <c r="AB165" s="36"/>
      <c r="AC165" s="36"/>
      <c r="AD165" s="36"/>
      <c r="AE165" s="36"/>
      <c r="AF165" s="36"/>
      <c r="AG165" s="36"/>
      <c r="AH165" s="33"/>
      <c r="AI165" s="34"/>
      <c r="AJ165" s="34"/>
      <c r="AK165" s="34"/>
      <c r="AM165" s="2"/>
      <c r="AN165" s="205" t="str">
        <f>C162</f>
        <v>R-SW_Att_GAS_HPN2</v>
      </c>
      <c r="AO165" s="205" t="str">
        <f>D162</f>
        <v>Residential Gas Engine Heat Pump - Air to Water - SH + WH</v>
      </c>
      <c r="AP165" s="100" t="s">
        <v>13</v>
      </c>
      <c r="AQ165" s="116" t="s">
        <v>119</v>
      </c>
      <c r="AR165" s="100"/>
      <c r="AT165" s="100" t="s">
        <v>75</v>
      </c>
    </row>
    <row r="166" spans="3:46" ht="12" customHeight="1" x14ac:dyDescent="0.25">
      <c r="C166" s="19" t="str">
        <f>"R-SW_"&amp;RIGHT(E166,3)&amp;"_HET_N1"</f>
        <v>R-SW_Att_HET_N1</v>
      </c>
      <c r="D166" s="20" t="s">
        <v>707</v>
      </c>
      <c r="E166" s="88" t="s">
        <v>686</v>
      </c>
      <c r="F166" s="88"/>
      <c r="G166" s="88" t="s">
        <v>620</v>
      </c>
      <c r="H166" s="19">
        <v>1</v>
      </c>
      <c r="I166" s="20">
        <v>1</v>
      </c>
      <c r="J166" s="20">
        <v>1</v>
      </c>
      <c r="K166" s="56">
        <v>1</v>
      </c>
      <c r="L166" s="46"/>
      <c r="M166" s="47"/>
      <c r="N166" s="47"/>
      <c r="O166" s="48"/>
      <c r="P166" s="220">
        <v>0.7</v>
      </c>
      <c r="Q166" s="221">
        <v>0.7</v>
      </c>
      <c r="R166" s="221">
        <v>0.7</v>
      </c>
      <c r="S166" s="222">
        <v>0.7</v>
      </c>
      <c r="T166" s="52">
        <v>20</v>
      </c>
      <c r="U166" s="48"/>
      <c r="V166" s="19">
        <f>(($AK$166)/10)*(JRC_Data!BB62/JRC_Data!$BB$62)</f>
        <v>2.5</v>
      </c>
      <c r="W166" s="19">
        <f>((100*$AK$166)/1000)*(JRC_Data!BC62/JRC_Data!$BB$62)</f>
        <v>2.5</v>
      </c>
      <c r="X166" s="19">
        <f>((100*$AK$166)/1000)*(JRC_Data!BD62/JRC_Data!$BB$62)</f>
        <v>2.5</v>
      </c>
      <c r="Y166" s="19">
        <f>((100*$AK$166)/1000)*(JRC_Data!BE62/JRC_Data!$BB$62)</f>
        <v>2.5</v>
      </c>
      <c r="Z166" s="84">
        <f>JRC_Data!BL62/1000</f>
        <v>0.15</v>
      </c>
      <c r="AA166" s="84"/>
      <c r="AB166" s="84"/>
      <c r="AC166" s="84"/>
      <c r="AD166" s="84"/>
      <c r="AE166" s="84"/>
      <c r="AF166" s="84"/>
      <c r="AG166" s="84"/>
      <c r="AH166" s="84">
        <f t="shared" si="67"/>
        <v>0.7884000000000001</v>
      </c>
      <c r="AI166" s="87"/>
      <c r="AJ166" s="87">
        <v>2019</v>
      </c>
      <c r="AK166" s="87">
        <v>25</v>
      </c>
      <c r="AM166" s="2"/>
      <c r="AN166" s="205" t="str">
        <f>C164</f>
        <v>R-SW_Att_GAS_HHPN1</v>
      </c>
      <c r="AO166" s="205" t="str">
        <f>D164</f>
        <v>Residential Gas Hybrid Heat Pump - Air to Water - SH + WH</v>
      </c>
      <c r="AP166" s="100" t="s">
        <v>13</v>
      </c>
      <c r="AQ166" s="116" t="s">
        <v>119</v>
      </c>
      <c r="AR166" s="100" t="s">
        <v>684</v>
      </c>
      <c r="AT166" s="100" t="s">
        <v>75</v>
      </c>
    </row>
    <row r="167" spans="3:46" ht="12" customHeight="1" x14ac:dyDescent="0.25">
      <c r="C167" s="33" t="s">
        <v>114</v>
      </c>
      <c r="D167" s="33"/>
      <c r="E167" s="34"/>
      <c r="F167" s="34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4"/>
      <c r="U167" s="34"/>
      <c r="V167" s="33"/>
      <c r="W167" s="33"/>
      <c r="X167" s="33"/>
      <c r="Y167" s="33"/>
      <c r="Z167" s="33"/>
      <c r="AA167" s="34"/>
      <c r="AB167" s="36"/>
      <c r="AC167" s="36"/>
      <c r="AD167" s="36"/>
      <c r="AE167" s="36"/>
      <c r="AF167" s="36"/>
      <c r="AG167" s="36"/>
      <c r="AH167" s="33"/>
      <c r="AI167" s="34"/>
      <c r="AJ167" s="34"/>
      <c r="AK167" s="34"/>
      <c r="AM167" s="2"/>
      <c r="AN167" s="205" t="str">
        <f>C166</f>
        <v>R-SW_Att_HET_N1</v>
      </c>
      <c r="AO167" s="205" t="str">
        <f>D166</f>
        <v>Residential District Heating HIU - SH + WH</v>
      </c>
      <c r="AP167" s="100" t="s">
        <v>13</v>
      </c>
      <c r="AQ167" s="116" t="s">
        <v>119</v>
      </c>
      <c r="AR167" s="100" t="s">
        <v>684</v>
      </c>
      <c r="AT167" s="100" t="s">
        <v>75</v>
      </c>
    </row>
    <row r="168" spans="3:46" ht="12" customHeight="1" x14ac:dyDescent="0.25">
      <c r="C168" s="19" t="str">
        <f>"R-WH_Att"&amp;"_"&amp;RIGHT(E168,3)&amp;"_N1"</f>
        <v>R-WH_Att_ELC_N1</v>
      </c>
      <c r="D168" s="20" t="s">
        <v>115</v>
      </c>
      <c r="E168" s="88" t="s">
        <v>144</v>
      </c>
      <c r="F168" s="88"/>
      <c r="G168" s="56" t="s">
        <v>135</v>
      </c>
      <c r="H168" s="46"/>
      <c r="I168" s="47"/>
      <c r="J168" s="47"/>
      <c r="K168" s="48"/>
      <c r="L168" s="46"/>
      <c r="M168" s="47"/>
      <c r="N168" s="47"/>
      <c r="O168" s="48"/>
      <c r="P168" s="220">
        <v>0.7</v>
      </c>
      <c r="Q168" s="221">
        <v>0.7</v>
      </c>
      <c r="R168" s="221">
        <v>0.7</v>
      </c>
      <c r="S168" s="222">
        <v>0.7</v>
      </c>
      <c r="T168" s="52">
        <v>15</v>
      </c>
      <c r="U168" s="48"/>
      <c r="V168" s="19">
        <f>(JRC_Data!BB48/1000)*($U$283/$U$283)*0.5</f>
        <v>2</v>
      </c>
      <c r="W168" s="19">
        <f>(JRC_Data!BC48/1000)*($U$283/$U$283)*0.5</f>
        <v>2</v>
      </c>
      <c r="X168" s="19">
        <f>(JRC_Data!BD48/1000)*($U$283/$U$283)*0.5</f>
        <v>2</v>
      </c>
      <c r="Y168" s="19">
        <f>(JRC_Data!BE48/1000)*($U$283/$U$283)*0.5</f>
        <v>2</v>
      </c>
      <c r="Z168" s="84">
        <f>JRC_Data!BL48/1000</f>
        <v>0.05</v>
      </c>
      <c r="AA168" s="84"/>
      <c r="AB168" s="84"/>
      <c r="AC168" s="84"/>
      <c r="AD168" s="84"/>
      <c r="AE168" s="84"/>
      <c r="AF168" s="84"/>
      <c r="AG168" s="84"/>
      <c r="AH168" s="84">
        <f t="shared" si="67"/>
        <v>0.15768000000000001</v>
      </c>
      <c r="AI168" s="87"/>
      <c r="AJ168" s="87">
        <v>2019</v>
      </c>
      <c r="AK168" s="87">
        <v>5</v>
      </c>
      <c r="AM168" s="2"/>
      <c r="AN168" s="205" t="str">
        <f>C168</f>
        <v>R-WH_Att_ELC_N1</v>
      </c>
      <c r="AO168" s="205" t="str">
        <f>D168</f>
        <v xml:space="preserve">Residential Electric Water Heater </v>
      </c>
      <c r="AP168" s="100" t="s">
        <v>13</v>
      </c>
      <c r="AQ168" s="116" t="s">
        <v>119</v>
      </c>
      <c r="AR168" s="100" t="s">
        <v>684</v>
      </c>
      <c r="AT168" s="100" t="s">
        <v>75</v>
      </c>
    </row>
    <row r="169" spans="3:46" ht="12" customHeight="1" x14ac:dyDescent="0.25">
      <c r="C169" s="226" t="str">
        <f>"R-WH_Att"&amp;"_"&amp;RIGHT(E169,3)&amp;"_N1"</f>
        <v>R-WH_Att_SOL_N1</v>
      </c>
      <c r="D169" s="26" t="s">
        <v>116</v>
      </c>
      <c r="E169" s="27" t="s">
        <v>250</v>
      </c>
      <c r="F169" s="27"/>
      <c r="G169" s="59" t="s">
        <v>692</v>
      </c>
      <c r="H169" s="49"/>
      <c r="I169" s="50"/>
      <c r="J169" s="50"/>
      <c r="K169" s="51"/>
      <c r="L169" s="49"/>
      <c r="M169" s="50"/>
      <c r="N169" s="50"/>
      <c r="O169" s="51"/>
      <c r="P169" s="217">
        <v>1</v>
      </c>
      <c r="Q169" s="218">
        <v>1</v>
      </c>
      <c r="R169" s="218">
        <v>1</v>
      </c>
      <c r="S169" s="219">
        <v>1</v>
      </c>
      <c r="T169" s="53">
        <v>25</v>
      </c>
      <c r="U169" s="22">
        <v>30</v>
      </c>
      <c r="V169" s="22">
        <f>(JRC_Data!BB45/1000)*($U$283/$U$283)*0.5</f>
        <v>2.7</v>
      </c>
      <c r="W169" s="22">
        <f>(JRC_Data!BC45/1000)*($U$283/$U$283)*0.5</f>
        <v>2.5499999999999998</v>
      </c>
      <c r="X169" s="22">
        <f>(JRC_Data!BD45/1000)*($U$283/$U$283)*0.5</f>
        <v>2.2999999999999998</v>
      </c>
      <c r="Y169" s="22">
        <f>(JRC_Data!BE45/1000)*($U$283/$U$283)*0.5</f>
        <v>1.85</v>
      </c>
      <c r="Z169" s="63">
        <f>JRC_Data!BL45/1000</f>
        <v>6.2E-2</v>
      </c>
      <c r="AA169" s="63"/>
      <c r="AB169" s="63"/>
      <c r="AC169" s="63"/>
      <c r="AD169" s="63"/>
      <c r="AE169" s="63"/>
      <c r="AF169" s="63"/>
      <c r="AG169" s="63"/>
      <c r="AH169" s="63">
        <f t="shared" si="67"/>
        <v>0.15768000000000001</v>
      </c>
      <c r="AI169" s="67"/>
      <c r="AJ169" s="66">
        <v>2019</v>
      </c>
      <c r="AK169" s="66">
        <v>5</v>
      </c>
      <c r="AM169" s="2"/>
      <c r="AN169" s="205" t="str">
        <f>C169</f>
        <v>R-WH_Att_SOL_N1</v>
      </c>
      <c r="AO169" s="205" t="str">
        <f>D169</f>
        <v xml:space="preserve">Residential Solar Water Heater </v>
      </c>
      <c r="AP169" s="100" t="s">
        <v>13</v>
      </c>
      <c r="AQ169" s="116" t="s">
        <v>119</v>
      </c>
      <c r="AR169" s="100"/>
      <c r="AT169" s="100" t="s">
        <v>75</v>
      </c>
    </row>
    <row r="170" spans="3:46" ht="12" customHeight="1" x14ac:dyDescent="0.25">
      <c r="C170" s="33" t="s">
        <v>260</v>
      </c>
      <c r="D170" s="33"/>
      <c r="E170" s="34"/>
      <c r="F170" s="34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4"/>
      <c r="U170" s="34"/>
      <c r="V170" s="33"/>
      <c r="W170" s="33"/>
      <c r="X170" s="33"/>
      <c r="Y170" s="33"/>
      <c r="Z170" s="33"/>
      <c r="AA170" s="34"/>
      <c r="AB170" s="36"/>
      <c r="AC170" s="36"/>
      <c r="AD170" s="36"/>
      <c r="AE170" s="36"/>
      <c r="AF170" s="36"/>
      <c r="AG170" s="36"/>
      <c r="AH170" s="33"/>
      <c r="AI170" s="34"/>
      <c r="AJ170" s="34"/>
      <c r="AK170" s="34"/>
      <c r="AM170" s="2"/>
      <c r="AN170" s="205" t="str">
        <f>C171</f>
        <v>R-SC_Att_ELC_N1</v>
      </c>
      <c r="AO170" s="205" t="str">
        <f>D171</f>
        <v>Residential Electric Air Conditioning</v>
      </c>
      <c r="AP170" s="100" t="s">
        <v>13</v>
      </c>
      <c r="AQ170" s="116" t="s">
        <v>119</v>
      </c>
      <c r="AR170" s="100" t="s">
        <v>684</v>
      </c>
      <c r="AT170" s="100" t="s">
        <v>75</v>
      </c>
    </row>
    <row r="171" spans="3:46" ht="12" customHeight="1" x14ac:dyDescent="0.25">
      <c r="C171" s="29" t="str">
        <f>"R-SC_Att"&amp;"_"&amp;RIGHT(E171,3)&amp;"_N1"</f>
        <v>R-SC_Att_ELC_N1</v>
      </c>
      <c r="D171" s="93" t="s">
        <v>117</v>
      </c>
      <c r="E171" s="110" t="s">
        <v>144</v>
      </c>
      <c r="F171" s="110"/>
      <c r="G171" s="111" t="s">
        <v>134</v>
      </c>
      <c r="H171" s="108"/>
      <c r="I171" s="109"/>
      <c r="J171" s="109"/>
      <c r="K171" s="109"/>
      <c r="L171" s="493">
        <v>1</v>
      </c>
      <c r="M171" s="494">
        <f>JRC_Data!AD16/JRC_Data!$AC$16</f>
        <v>1.0666666666666667</v>
      </c>
      <c r="N171" s="494">
        <f>JRC_Data!AE16/JRC_Data!$AC$16</f>
        <v>1.2333333333333334</v>
      </c>
      <c r="O171" s="494">
        <f>JRC_Data!AF16/JRC_Data!$AC$16</f>
        <v>1.3333333333333333</v>
      </c>
      <c r="P171" s="109"/>
      <c r="Q171" s="109"/>
      <c r="R171" s="109"/>
      <c r="S171" s="96"/>
      <c r="T171" s="95">
        <v>20</v>
      </c>
      <c r="U171" s="96"/>
      <c r="V171" s="92">
        <f>(JRC_Data!BB16/1000)*($U$284/$U$289)</f>
        <v>1.9786641929499076</v>
      </c>
      <c r="W171" s="92">
        <f>(JRC_Data!BC16/1000)*($U$284/$U$289)</f>
        <v>1.8887249114521845</v>
      </c>
      <c r="X171" s="92">
        <f>(JRC_Data!BD16/1000)*($U$284/$U$289)</f>
        <v>1.7088463484567382</v>
      </c>
      <c r="Y171" s="92">
        <f>(JRC_Data!BE16/1000)*($U$284/$U$289)</f>
        <v>1.6189070669590153</v>
      </c>
      <c r="Z171" s="90">
        <f>JRC_Data!BL16/1000</f>
        <v>3.4000000000000002E-2</v>
      </c>
      <c r="AA171" s="90"/>
      <c r="AB171" s="90"/>
      <c r="AC171" s="90"/>
      <c r="AD171" s="90"/>
      <c r="AE171" s="90"/>
      <c r="AF171" s="90"/>
      <c r="AG171" s="90"/>
      <c r="AH171" s="90">
        <f t="shared" si="67"/>
        <v>0.15768000000000001</v>
      </c>
      <c r="AI171" s="89"/>
      <c r="AJ171" s="89">
        <v>2100</v>
      </c>
      <c r="AK171" s="89">
        <v>5</v>
      </c>
      <c r="AM171" s="2"/>
      <c r="AN171" s="205"/>
      <c r="AO171" s="205"/>
      <c r="AP171" s="100"/>
      <c r="AQ171" s="100"/>
      <c r="AR171" s="100"/>
      <c r="AS171" s="100"/>
    </row>
    <row r="172" spans="3:46" ht="15" x14ac:dyDescent="0.25">
      <c r="AN172" s="205"/>
      <c r="AO172" s="205"/>
      <c r="AP172" s="100"/>
      <c r="AQ172" s="100"/>
      <c r="AR172" s="100"/>
      <c r="AS172" s="100"/>
    </row>
    <row r="173" spans="3:46" ht="15" x14ac:dyDescent="0.25">
      <c r="AN173" s="205"/>
      <c r="AO173" s="205"/>
      <c r="AP173" s="100"/>
      <c r="AQ173" s="100"/>
      <c r="AR173" s="100"/>
      <c r="AS173" s="100"/>
    </row>
    <row r="174" spans="3:46" ht="15" x14ac:dyDescent="0.25">
      <c r="AN174" s="205"/>
      <c r="AO174" s="205"/>
      <c r="AP174" s="100"/>
      <c r="AQ174" s="100"/>
      <c r="AR174" s="100"/>
      <c r="AS174" s="100"/>
      <c r="AT174" s="4"/>
    </row>
    <row r="175" spans="3:46" ht="15" x14ac:dyDescent="0.25">
      <c r="AN175" s="205"/>
      <c r="AO175" s="205"/>
      <c r="AP175" s="100"/>
      <c r="AQ175" s="100"/>
      <c r="AR175" s="100"/>
      <c r="AS175" s="100"/>
      <c r="AT175" s="4"/>
    </row>
    <row r="176" spans="3:46" ht="15" x14ac:dyDescent="0.25">
      <c r="H176" s="5" t="s">
        <v>19</v>
      </c>
      <c r="AN176" s="205"/>
      <c r="AO176" s="205"/>
      <c r="AP176" s="100"/>
      <c r="AQ176" s="100"/>
      <c r="AR176" s="100"/>
      <c r="AS176" s="100"/>
      <c r="AT176" s="4"/>
    </row>
    <row r="177" spans="3:46" ht="45.75" thickBot="1" x14ac:dyDescent="0.3">
      <c r="C177" s="14" t="s">
        <v>21</v>
      </c>
      <c r="D177" s="15" t="s">
        <v>32</v>
      </c>
      <c r="E177" s="14" t="s">
        <v>23</v>
      </c>
      <c r="F177" s="14" t="s">
        <v>537</v>
      </c>
      <c r="G177" s="14" t="s">
        <v>24</v>
      </c>
      <c r="H177" s="17" t="s">
        <v>790</v>
      </c>
      <c r="I177" s="17" t="s">
        <v>791</v>
      </c>
      <c r="J177" s="17" t="s">
        <v>792</v>
      </c>
      <c r="K177" s="17" t="s">
        <v>793</v>
      </c>
      <c r="L177" s="17" t="s">
        <v>512</v>
      </c>
      <c r="M177" s="17" t="s">
        <v>513</v>
      </c>
      <c r="N177" s="17" t="s">
        <v>514</v>
      </c>
      <c r="O177" s="17" t="s">
        <v>515</v>
      </c>
      <c r="P177" s="17" t="s">
        <v>516</v>
      </c>
      <c r="Q177" s="17" t="s">
        <v>517</v>
      </c>
      <c r="R177" s="17" t="s">
        <v>518</v>
      </c>
      <c r="S177" s="17" t="s">
        <v>519</v>
      </c>
      <c r="T177" s="18" t="s">
        <v>26</v>
      </c>
      <c r="U177" s="18" t="s">
        <v>76</v>
      </c>
      <c r="V177" s="17" t="s">
        <v>678</v>
      </c>
      <c r="W177" s="17" t="s">
        <v>88</v>
      </c>
      <c r="X177" s="17" t="s">
        <v>89</v>
      </c>
      <c r="Y177" s="17" t="s">
        <v>90</v>
      </c>
      <c r="Z177" s="17" t="s">
        <v>61</v>
      </c>
      <c r="AA177" s="17" t="s">
        <v>62</v>
      </c>
      <c r="AB177" s="17" t="s">
        <v>264</v>
      </c>
      <c r="AC177" s="17" t="s">
        <v>265</v>
      </c>
      <c r="AD177" s="17" t="s">
        <v>266</v>
      </c>
      <c r="AE177" s="17" t="s">
        <v>598</v>
      </c>
      <c r="AF177" s="17" t="s">
        <v>697</v>
      </c>
      <c r="AG177" s="17" t="s">
        <v>232</v>
      </c>
      <c r="AH177" s="17" t="s">
        <v>77</v>
      </c>
      <c r="AI177" s="17" t="s">
        <v>251</v>
      </c>
      <c r="AJ177" s="17" t="s">
        <v>78</v>
      </c>
      <c r="AK177" s="17" t="s">
        <v>535</v>
      </c>
      <c r="AN177" s="205"/>
      <c r="AO177" s="205"/>
      <c r="AP177" s="100"/>
      <c r="AQ177" s="100"/>
      <c r="AR177" s="100"/>
      <c r="AS177" s="100"/>
    </row>
    <row r="178" spans="3:46" ht="38.25" x14ac:dyDescent="0.25">
      <c r="C178" s="16" t="s">
        <v>79</v>
      </c>
      <c r="D178" s="16" t="s">
        <v>33</v>
      </c>
      <c r="E178" s="16" t="s">
        <v>80</v>
      </c>
      <c r="F178" s="16" t="s">
        <v>538</v>
      </c>
      <c r="G178" s="16" t="s">
        <v>81</v>
      </c>
      <c r="H178" s="625" t="s">
        <v>82</v>
      </c>
      <c r="I178" s="626"/>
      <c r="J178" s="626"/>
      <c r="K178" s="627"/>
      <c r="L178" s="625" t="s">
        <v>83</v>
      </c>
      <c r="M178" s="626"/>
      <c r="N178" s="626"/>
      <c r="O178" s="627"/>
      <c r="P178" s="625" t="s">
        <v>84</v>
      </c>
      <c r="Q178" s="626"/>
      <c r="R178" s="626"/>
      <c r="S178" s="627"/>
      <c r="T178" s="625" t="s">
        <v>85</v>
      </c>
      <c r="U178" s="627"/>
      <c r="V178" s="619" t="s">
        <v>86</v>
      </c>
      <c r="W178" s="620"/>
      <c r="X178" s="620"/>
      <c r="Y178" s="621"/>
      <c r="Z178" s="60"/>
      <c r="AA178" s="60"/>
      <c r="AB178" s="68" t="s">
        <v>202</v>
      </c>
      <c r="AC178" s="70" t="s">
        <v>202</v>
      </c>
      <c r="AD178" s="70" t="s">
        <v>202</v>
      </c>
      <c r="AE178" s="70" t="s">
        <v>202</v>
      </c>
      <c r="AF178" s="70" t="s">
        <v>698</v>
      </c>
      <c r="AG178" s="70" t="s">
        <v>231</v>
      </c>
      <c r="AH178" s="60" t="s">
        <v>66</v>
      </c>
      <c r="AI178" s="60" t="s">
        <v>87</v>
      </c>
      <c r="AJ178" s="60"/>
      <c r="AK178" s="60"/>
      <c r="AM178" s="100"/>
      <c r="AN178" s="205"/>
      <c r="AO178" s="205"/>
      <c r="AP178" s="100"/>
      <c r="AQ178" s="100"/>
      <c r="AR178" s="100"/>
      <c r="AS178" s="100"/>
    </row>
    <row r="179" spans="3:46" ht="15.75" thickBot="1" x14ac:dyDescent="0.3">
      <c r="C179" s="14" t="s">
        <v>532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345"/>
      <c r="U179" s="345"/>
      <c r="V179" s="345"/>
      <c r="W179" s="345"/>
      <c r="X179" s="345"/>
      <c r="Y179" s="345"/>
      <c r="Z179" s="345"/>
      <c r="AA179" s="345"/>
      <c r="AB179" s="345"/>
      <c r="AC179" s="345"/>
      <c r="AD179" s="345"/>
      <c r="AE179" s="345"/>
      <c r="AF179" s="345"/>
      <c r="AG179" s="345"/>
      <c r="AH179" s="345"/>
      <c r="AI179" s="345"/>
      <c r="AJ179" s="345"/>
      <c r="AK179" s="345"/>
      <c r="AM179" s="100"/>
      <c r="AN179" s="205"/>
      <c r="AO179" s="205"/>
      <c r="AP179" s="100"/>
      <c r="AQ179" s="100"/>
      <c r="AR179" s="100"/>
      <c r="AS179" s="100"/>
    </row>
    <row r="180" spans="3:46" ht="15" x14ac:dyDescent="0.25">
      <c r="C180" s="37" t="s">
        <v>253</v>
      </c>
      <c r="D180" s="38"/>
      <c r="E180" s="38"/>
      <c r="F180" s="38"/>
      <c r="G180" s="39"/>
      <c r="H180" s="622" t="s">
        <v>34</v>
      </c>
      <c r="I180" s="623"/>
      <c r="J180" s="623"/>
      <c r="K180" s="624"/>
      <c r="L180" s="623" t="s">
        <v>34</v>
      </c>
      <c r="M180" s="623"/>
      <c r="N180" s="623"/>
      <c r="O180" s="624"/>
      <c r="P180" s="622" t="s">
        <v>34</v>
      </c>
      <c r="Q180" s="623"/>
      <c r="R180" s="623"/>
      <c r="S180" s="624"/>
      <c r="T180" s="628" t="s">
        <v>68</v>
      </c>
      <c r="U180" s="629"/>
      <c r="V180" s="628" t="s">
        <v>487</v>
      </c>
      <c r="W180" s="630"/>
      <c r="X180" s="630"/>
      <c r="Y180" s="629"/>
      <c r="Z180" s="346" t="s">
        <v>498</v>
      </c>
      <c r="AA180" s="346" t="s">
        <v>93</v>
      </c>
      <c r="AB180" s="347" t="s">
        <v>34</v>
      </c>
      <c r="AC180" s="346" t="s">
        <v>34</v>
      </c>
      <c r="AD180" s="346" t="s">
        <v>34</v>
      </c>
      <c r="AE180" s="346"/>
      <c r="AF180" s="346"/>
      <c r="AG180" s="346"/>
      <c r="AH180" s="348" t="s">
        <v>267</v>
      </c>
      <c r="AI180" s="346" t="s">
        <v>34</v>
      </c>
      <c r="AJ180" s="346" t="s">
        <v>94</v>
      </c>
      <c r="AK180" s="346" t="s">
        <v>536</v>
      </c>
      <c r="AM180" s="100"/>
      <c r="AN180" s="205"/>
      <c r="AO180" s="205"/>
      <c r="AP180" s="100"/>
      <c r="AQ180" s="100"/>
      <c r="AR180" s="100"/>
      <c r="AS180" s="100"/>
    </row>
    <row r="181" spans="3:46" ht="15" x14ac:dyDescent="0.25">
      <c r="C181" s="19" t="str">
        <f>"R-SH_Det"&amp;"_"&amp;RIGHT(E181,3)&amp;"_N1"</f>
        <v>R-SH_Det_KER_N1</v>
      </c>
      <c r="D181" s="20" t="s">
        <v>96</v>
      </c>
      <c r="E181" s="88" t="s">
        <v>243</v>
      </c>
      <c r="F181" s="88"/>
      <c r="G181" s="440" t="s">
        <v>622</v>
      </c>
      <c r="H181" s="40">
        <v>1.05</v>
      </c>
      <c r="I181" s="29">
        <v>1.1000000000000001</v>
      </c>
      <c r="J181" s="29">
        <v>1.1499999999999999</v>
      </c>
      <c r="K181" s="58">
        <v>1.2</v>
      </c>
      <c r="L181" s="46"/>
      <c r="M181" s="47"/>
      <c r="N181" s="47"/>
      <c r="O181" s="48"/>
      <c r="P181" s="19"/>
      <c r="Q181" s="20"/>
      <c r="R181" s="20"/>
      <c r="S181" s="56"/>
      <c r="T181" s="54">
        <v>20</v>
      </c>
      <c r="U181" s="41"/>
      <c r="V181" s="349">
        <f>V185*1.3</f>
        <v>4.5825000000000005</v>
      </c>
      <c r="W181" s="349">
        <f t="shared" ref="W181:Y181" si="148">W185*1.3</f>
        <v>4.5825000000000005</v>
      </c>
      <c r="X181" s="349">
        <f t="shared" si="148"/>
        <v>4.5825000000000005</v>
      </c>
      <c r="Y181" s="349">
        <f t="shared" si="148"/>
        <v>4.5825000000000005</v>
      </c>
      <c r="Z181" s="349">
        <v>0.12</v>
      </c>
      <c r="AA181" s="65"/>
      <c r="AB181" s="42"/>
      <c r="AC181" s="71"/>
      <c r="AD181" s="71"/>
      <c r="AE181" s="71"/>
      <c r="AF181" s="71"/>
      <c r="AG181" s="71"/>
      <c r="AH181" s="62">
        <f t="shared" ref="AH181:AH268" si="149">31.536*(AK181/1000)</f>
        <v>0.94608000000000003</v>
      </c>
      <c r="AI181" s="65"/>
      <c r="AJ181" s="65">
        <v>2019</v>
      </c>
      <c r="AK181" s="65">
        <v>30</v>
      </c>
      <c r="AM181" s="100"/>
      <c r="AN181" s="205"/>
      <c r="AO181" s="205"/>
      <c r="AP181" s="100"/>
      <c r="AQ181" s="100"/>
      <c r="AR181" s="100"/>
      <c r="AS181" s="100"/>
    </row>
    <row r="182" spans="3:46" ht="15" x14ac:dyDescent="0.25">
      <c r="C182" s="22" t="str">
        <f>"R-SW_Det"&amp;"_"&amp;RIGHT(E182,3)&amp;"_N1"</f>
        <v>R-SW_Det_KER_N1</v>
      </c>
      <c r="D182" s="23" t="s">
        <v>97</v>
      </c>
      <c r="E182" s="24" t="s">
        <v>243</v>
      </c>
      <c r="F182" s="24"/>
      <c r="G182" s="57" t="s">
        <v>623</v>
      </c>
      <c r="H182" s="22">
        <v>1.05</v>
      </c>
      <c r="I182" s="23">
        <v>1.1000000000000001</v>
      </c>
      <c r="J182" s="23">
        <v>1.1499999999999999</v>
      </c>
      <c r="K182" s="57">
        <v>1.2</v>
      </c>
      <c r="L182" s="44"/>
      <c r="M182" s="32"/>
      <c r="N182" s="32"/>
      <c r="O182" s="45"/>
      <c r="P182" s="22">
        <f>H182*0.7</f>
        <v>0.73499999999999999</v>
      </c>
      <c r="Q182" s="23">
        <f t="shared" ref="Q182:Q184" si="150">I182*0.7</f>
        <v>0.77</v>
      </c>
      <c r="R182" s="23">
        <f t="shared" ref="R182:R184" si="151">J182*0.7</f>
        <v>0.80499999999999994</v>
      </c>
      <c r="S182" s="57">
        <f t="shared" ref="S182:S184" si="152">K182*0.7</f>
        <v>0.84</v>
      </c>
      <c r="T182" s="53">
        <v>20</v>
      </c>
      <c r="U182" s="25"/>
      <c r="V182" s="350">
        <f>V186*1.3</f>
        <v>4.9452075289575284</v>
      </c>
      <c r="W182" s="350">
        <f t="shared" ref="W182:Y182" si="153">W186*1.3</f>
        <v>4.9452075289575284</v>
      </c>
      <c r="X182" s="350">
        <f t="shared" si="153"/>
        <v>4.9452075289575284</v>
      </c>
      <c r="Y182" s="350">
        <f t="shared" si="153"/>
        <v>4.9452075289575284</v>
      </c>
      <c r="Z182" s="350">
        <v>0.12</v>
      </c>
      <c r="AA182" s="66"/>
      <c r="AB182" s="44"/>
      <c r="AC182" s="72"/>
      <c r="AD182" s="72"/>
      <c r="AE182" s="72"/>
      <c r="AF182" s="72"/>
      <c r="AG182" s="72"/>
      <c r="AH182" s="63">
        <f t="shared" si="149"/>
        <v>1.1983680000000001</v>
      </c>
      <c r="AI182" s="66"/>
      <c r="AJ182" s="66">
        <v>2019</v>
      </c>
      <c r="AK182" s="66">
        <v>38</v>
      </c>
      <c r="AM182" s="100"/>
    </row>
    <row r="183" spans="3:46" ht="15" x14ac:dyDescent="0.25">
      <c r="C183" s="40" t="str">
        <f>"R-SW_Det"&amp;"_"&amp;RIGHT(E183,3)&amp;"_N2"</f>
        <v>R-SW_Det_KER_N2</v>
      </c>
      <c r="D183" s="29" t="s">
        <v>98</v>
      </c>
      <c r="E183" s="30" t="s">
        <v>245</v>
      </c>
      <c r="F183" s="30"/>
      <c r="G183" s="58" t="s">
        <v>623</v>
      </c>
      <c r="H183" s="40">
        <v>1.1399999999999999</v>
      </c>
      <c r="I183" s="29">
        <v>1.17</v>
      </c>
      <c r="J183" s="29">
        <v>1.2</v>
      </c>
      <c r="K183" s="58">
        <v>1.23</v>
      </c>
      <c r="L183" s="42"/>
      <c r="M183" s="31"/>
      <c r="N183" s="31"/>
      <c r="O183" s="43"/>
      <c r="P183" s="40">
        <f>H183*0.7</f>
        <v>0.79799999999999993</v>
      </c>
      <c r="Q183" s="29">
        <f t="shared" si="150"/>
        <v>0.81899999999999995</v>
      </c>
      <c r="R183" s="29">
        <f t="shared" si="151"/>
        <v>0.84</v>
      </c>
      <c r="S183" s="58">
        <f t="shared" si="152"/>
        <v>0.86099999999999999</v>
      </c>
      <c r="T183" s="54">
        <v>20</v>
      </c>
      <c r="U183" s="41"/>
      <c r="V183" s="62">
        <f>((JRC_Data!BB7+JRC_Data!BB45)*0.8/1000)*$U$291</f>
        <v>10.359845559845558</v>
      </c>
      <c r="W183" s="62">
        <f>((JRC_Data!BC7+JRC_Data!BC45)*0.8/1000)*$U$291</f>
        <v>10.10084942084942</v>
      </c>
      <c r="X183" s="62">
        <f>((JRC_Data!BD7+JRC_Data!BD45)*0.8/1000)*$U$291</f>
        <v>9.6691891891891899</v>
      </c>
      <c r="Y183" s="62">
        <f>((JRC_Data!BE7+JRC_Data!BE45)*0.8/1000)*$U$291</f>
        <v>8.8922007722007717</v>
      </c>
      <c r="Z183" s="58">
        <f>((JRC_Data!BL7+JRC_Data!BL45)*0.8)/1000</f>
        <v>0.2656</v>
      </c>
      <c r="AA183" s="65"/>
      <c r="AB183" s="42">
        <v>0.25</v>
      </c>
      <c r="AC183" s="71"/>
      <c r="AD183" s="71"/>
      <c r="AE183" s="71"/>
      <c r="AF183" s="71"/>
      <c r="AG183" s="209">
        <v>5</v>
      </c>
      <c r="AH183" s="62">
        <f t="shared" si="149"/>
        <v>1.1983680000000001</v>
      </c>
      <c r="AI183" s="65"/>
      <c r="AJ183" s="65">
        <v>2019</v>
      </c>
      <c r="AK183" s="65">
        <v>38</v>
      </c>
      <c r="AM183" s="100"/>
    </row>
    <row r="184" spans="3:46" x14ac:dyDescent="0.2">
      <c r="C184" s="22" t="str">
        <f>"R-SW_Det"&amp;"_"&amp;RIGHT(E184,3)&amp;"_N3"</f>
        <v>R-SW_Det_KER_N3</v>
      </c>
      <c r="D184" s="23" t="s">
        <v>102</v>
      </c>
      <c r="E184" s="24" t="s">
        <v>246</v>
      </c>
      <c r="F184" s="24"/>
      <c r="G184" s="57" t="s">
        <v>623</v>
      </c>
      <c r="H184" s="22">
        <v>1.04</v>
      </c>
      <c r="I184" s="23">
        <v>1.0900000000000001</v>
      </c>
      <c r="J184" s="23">
        <v>1.1299999999999999</v>
      </c>
      <c r="K184" s="57">
        <v>1.1599999999999999</v>
      </c>
      <c r="L184" s="44"/>
      <c r="M184" s="32"/>
      <c r="N184" s="32"/>
      <c r="O184" s="45"/>
      <c r="P184" s="22">
        <f>H184*0.7</f>
        <v>0.72799999999999998</v>
      </c>
      <c r="Q184" s="23">
        <f t="shared" si="150"/>
        <v>0.76300000000000001</v>
      </c>
      <c r="R184" s="23">
        <f t="shared" si="151"/>
        <v>0.79099999999999993</v>
      </c>
      <c r="S184" s="57">
        <f t="shared" si="152"/>
        <v>0.81199999999999994</v>
      </c>
      <c r="T184" s="53">
        <v>20</v>
      </c>
      <c r="U184" s="25"/>
      <c r="V184" s="63">
        <f>((JRC_Data!BB7+JRC_Data!BB11)*0.8/1000)*$U$291</f>
        <v>11.525328185328185</v>
      </c>
      <c r="W184" s="63">
        <f>((JRC_Data!BC7+JRC_Data!BC11)*0.8/1000)*$U$291</f>
        <v>11.525328185328185</v>
      </c>
      <c r="X184" s="63">
        <f>((JRC_Data!BD7+JRC_Data!BD11)*0.8/1000)*$U$291</f>
        <v>12.172818532818532</v>
      </c>
      <c r="Y184" s="63">
        <f>((JRC_Data!BE7+JRC_Data!BE11)*0.8/1000)*$U$291</f>
        <v>12.172818532818532</v>
      </c>
      <c r="Z184" s="58">
        <f>((JRC_Data!BL7+JRC_Data!BL11)*0.8)/1000</f>
        <v>0.23680000000000001</v>
      </c>
      <c r="AA184" s="66"/>
      <c r="AB184" s="44"/>
      <c r="AC184" s="72">
        <v>0.47</v>
      </c>
      <c r="AD184" s="72"/>
      <c r="AE184" s="72"/>
      <c r="AF184" s="72"/>
      <c r="AG184" s="66">
        <v>5</v>
      </c>
      <c r="AH184" s="63">
        <f t="shared" si="149"/>
        <v>1.1983680000000001</v>
      </c>
      <c r="AI184" s="66"/>
      <c r="AJ184" s="66">
        <v>2019</v>
      </c>
      <c r="AK184" s="66">
        <v>38</v>
      </c>
      <c r="AM184" s="205" t="s">
        <v>20</v>
      </c>
      <c r="AN184" s="11"/>
      <c r="AO184" s="11"/>
      <c r="AP184" s="11"/>
      <c r="AQ184" s="11"/>
      <c r="AR184" s="11"/>
      <c r="AS184" s="11"/>
    </row>
    <row r="185" spans="3:46" ht="25.5" x14ac:dyDescent="0.2">
      <c r="C185" s="40" t="str">
        <f>"R-SH_Det"&amp;"_"&amp;RIGHT(E185,3)&amp;"_N1"</f>
        <v>R-SH_Det_GAS_N1</v>
      </c>
      <c r="D185" s="29" t="s">
        <v>95</v>
      </c>
      <c r="E185" s="30" t="s">
        <v>599</v>
      </c>
      <c r="F185" s="30"/>
      <c r="G185" s="58" t="s">
        <v>622</v>
      </c>
      <c r="H185" s="40">
        <v>1.05</v>
      </c>
      <c r="I185" s="29">
        <v>1.1000000000000001</v>
      </c>
      <c r="J185" s="29">
        <v>1.1499999999999999</v>
      </c>
      <c r="K185" s="58">
        <v>1.2</v>
      </c>
      <c r="L185" s="42"/>
      <c r="M185" s="31"/>
      <c r="N185" s="31"/>
      <c r="O185" s="43"/>
      <c r="P185" s="40"/>
      <c r="Q185" s="29"/>
      <c r="R185" s="29"/>
      <c r="S185" s="58"/>
      <c r="T185" s="54">
        <v>20</v>
      </c>
      <c r="U185" s="41"/>
      <c r="V185" s="349">
        <f>3.525</f>
        <v>3.5249999999999999</v>
      </c>
      <c r="W185" s="349">
        <f t="shared" ref="W185:Y185" si="154">3.525</f>
        <v>3.5249999999999999</v>
      </c>
      <c r="X185" s="349">
        <f t="shared" si="154"/>
        <v>3.5249999999999999</v>
      </c>
      <c r="Y185" s="349">
        <f t="shared" si="154"/>
        <v>3.5249999999999999</v>
      </c>
      <c r="Z185" s="349">
        <v>0.12</v>
      </c>
      <c r="AA185" s="65"/>
      <c r="AB185" s="42"/>
      <c r="AC185" s="71"/>
      <c r="AD185" s="71"/>
      <c r="AE185" s="71"/>
      <c r="AF185" s="72">
        <v>0.01</v>
      </c>
      <c r="AG185" s="71"/>
      <c r="AH185" s="62">
        <f t="shared" si="149"/>
        <v>0.94608000000000003</v>
      </c>
      <c r="AI185" s="65"/>
      <c r="AJ185" s="65">
        <v>2100</v>
      </c>
      <c r="AK185" s="65">
        <v>30</v>
      </c>
      <c r="AM185" s="12" t="s">
        <v>27</v>
      </c>
      <c r="AN185" s="12" t="s">
        <v>21</v>
      </c>
      <c r="AO185" s="12" t="s">
        <v>22</v>
      </c>
      <c r="AP185" s="12" t="s">
        <v>28</v>
      </c>
      <c r="AQ185" s="12" t="s">
        <v>29</v>
      </c>
      <c r="AR185" s="12" t="s">
        <v>131</v>
      </c>
      <c r="AS185" s="12" t="s">
        <v>30</v>
      </c>
      <c r="AT185" s="12" t="s">
        <v>67</v>
      </c>
    </row>
    <row r="186" spans="3:46" ht="45" x14ac:dyDescent="0.2">
      <c r="C186" s="22" t="str">
        <f>"R-SW_Det"&amp;"_"&amp;RIGHT(E186,3)&amp;"_N1"</f>
        <v>R-SW_Det_GAS_N1</v>
      </c>
      <c r="D186" s="23" t="s">
        <v>99</v>
      </c>
      <c r="E186" s="24" t="s">
        <v>599</v>
      </c>
      <c r="F186" s="24"/>
      <c r="G186" s="57" t="s">
        <v>623</v>
      </c>
      <c r="H186" s="22">
        <v>1.05</v>
      </c>
      <c r="I186" s="23">
        <v>1.1000000000000001</v>
      </c>
      <c r="J186" s="23">
        <v>1.1499999999999999</v>
      </c>
      <c r="K186" s="57">
        <v>1.2</v>
      </c>
      <c r="L186" s="44"/>
      <c r="M186" s="32"/>
      <c r="N186" s="32"/>
      <c r="O186" s="45"/>
      <c r="P186" s="22">
        <f>H186*0.7</f>
        <v>0.73499999999999999</v>
      </c>
      <c r="Q186" s="23">
        <f t="shared" ref="Q186:Q188" si="155">I186*0.7</f>
        <v>0.77</v>
      </c>
      <c r="R186" s="23">
        <f t="shared" ref="R186:R188" si="156">J186*0.7</f>
        <v>0.80499999999999994</v>
      </c>
      <c r="S186" s="57">
        <f t="shared" ref="S186:S188" si="157">K186*0.7</f>
        <v>0.84</v>
      </c>
      <c r="T186" s="53">
        <v>20</v>
      </c>
      <c r="U186" s="25"/>
      <c r="V186" s="350">
        <f>V185*($U$291/$U$290)</f>
        <v>3.8040057915057912</v>
      </c>
      <c r="W186" s="350">
        <f>W185*($U$291/$U$290)</f>
        <v>3.8040057915057912</v>
      </c>
      <c r="X186" s="350">
        <f>X185*($U$291/$U$290)</f>
        <v>3.8040057915057912</v>
      </c>
      <c r="Y186" s="350">
        <f>Y185*($U$291/$U$290)</f>
        <v>3.8040057915057912</v>
      </c>
      <c r="Z186" s="350">
        <v>0.12</v>
      </c>
      <c r="AA186" s="66"/>
      <c r="AB186" s="44"/>
      <c r="AC186" s="72"/>
      <c r="AD186" s="72"/>
      <c r="AE186" s="72"/>
      <c r="AF186" s="72">
        <v>0.01</v>
      </c>
      <c r="AG186" s="72"/>
      <c r="AH186" s="63">
        <f t="shared" si="149"/>
        <v>1.1983680000000001</v>
      </c>
      <c r="AI186" s="66"/>
      <c r="AJ186" s="66">
        <v>2100</v>
      </c>
      <c r="AK186" s="66">
        <v>38</v>
      </c>
      <c r="AM186" s="204" t="s">
        <v>69</v>
      </c>
      <c r="AN186" s="204" t="s">
        <v>70</v>
      </c>
      <c r="AO186" s="204" t="s">
        <v>33</v>
      </c>
      <c r="AP186" s="204" t="s">
        <v>71</v>
      </c>
      <c r="AQ186" s="204" t="s">
        <v>72</v>
      </c>
      <c r="AR186" s="204" t="s">
        <v>683</v>
      </c>
      <c r="AS186" s="204" t="s">
        <v>73</v>
      </c>
      <c r="AT186" s="204" t="s">
        <v>74</v>
      </c>
    </row>
    <row r="187" spans="3:46" ht="15" x14ac:dyDescent="0.25">
      <c r="C187" s="40" t="str">
        <f>"R-SW_Det"&amp;"_"&amp;RIGHT(E187,3)&amp;"_N2"</f>
        <v>R-SW_Det_GAS_N2</v>
      </c>
      <c r="D187" s="29" t="s">
        <v>100</v>
      </c>
      <c r="E187" s="30" t="s">
        <v>601</v>
      </c>
      <c r="F187" s="30"/>
      <c r="G187" s="58" t="s">
        <v>623</v>
      </c>
      <c r="H187" s="40">
        <v>1.1399999999999999</v>
      </c>
      <c r="I187" s="29">
        <v>1.17</v>
      </c>
      <c r="J187" s="29">
        <v>1.2</v>
      </c>
      <c r="K187" s="58">
        <v>1.23</v>
      </c>
      <c r="L187" s="42"/>
      <c r="M187" s="31"/>
      <c r="N187" s="31"/>
      <c r="O187" s="43"/>
      <c r="P187" s="40">
        <f>H187*0.7</f>
        <v>0.79799999999999993</v>
      </c>
      <c r="Q187" s="29">
        <f t="shared" si="155"/>
        <v>0.81899999999999995</v>
      </c>
      <c r="R187" s="29">
        <f t="shared" si="156"/>
        <v>0.84</v>
      </c>
      <c r="S187" s="58">
        <f t="shared" si="157"/>
        <v>0.86099999999999999</v>
      </c>
      <c r="T187" s="54">
        <v>20</v>
      </c>
      <c r="U187" s="41"/>
      <c r="V187" s="62">
        <v>13.025</v>
      </c>
      <c r="W187" s="349">
        <f>V187*0.9685</f>
        <v>12.614712500000001</v>
      </c>
      <c r="X187" s="349">
        <f>V187*0.916</f>
        <v>11.930900000000001</v>
      </c>
      <c r="Y187" s="349">
        <f>V187*0.812</f>
        <v>10.576300000000002</v>
      </c>
      <c r="Z187" s="58">
        <v>0.19</v>
      </c>
      <c r="AA187" s="65"/>
      <c r="AB187" s="42">
        <v>0.25</v>
      </c>
      <c r="AC187" s="71"/>
      <c r="AD187" s="71"/>
      <c r="AE187" s="71"/>
      <c r="AF187" s="72">
        <v>0.01</v>
      </c>
      <c r="AG187" s="209">
        <v>5</v>
      </c>
      <c r="AH187" s="62">
        <f t="shared" si="149"/>
        <v>1.1983680000000001</v>
      </c>
      <c r="AI187" s="65"/>
      <c r="AJ187" s="65">
        <v>2100</v>
      </c>
      <c r="AK187" s="65">
        <v>38</v>
      </c>
      <c r="AM187" s="100" t="s">
        <v>31</v>
      </c>
      <c r="AN187" s="99" t="str">
        <f t="shared" ref="AN187:AN198" si="158">C181</f>
        <v>R-SH_Det_KER_N1</v>
      </c>
      <c r="AO187" s="99" t="str">
        <f t="shared" ref="AO187:AO198" si="159">D181</f>
        <v>Residential Kerosene Heating Oil - New 1 SH</v>
      </c>
      <c r="AP187" s="100" t="s">
        <v>13</v>
      </c>
      <c r="AQ187" s="116" t="s">
        <v>119</v>
      </c>
      <c r="AR187" s="100"/>
      <c r="AT187" s="100" t="s">
        <v>75</v>
      </c>
    </row>
    <row r="188" spans="3:46" ht="15" x14ac:dyDescent="0.25">
      <c r="C188" s="22" t="str">
        <f>"R-SW_Det"&amp;"_"&amp;RIGHT(E188,3)&amp;"_N3"</f>
        <v>R-SW_Det_GAS_N3</v>
      </c>
      <c r="D188" s="23" t="s">
        <v>101</v>
      </c>
      <c r="E188" s="24" t="s">
        <v>602</v>
      </c>
      <c r="F188" s="24"/>
      <c r="G188" s="57" t="s">
        <v>623</v>
      </c>
      <c r="H188" s="22">
        <v>1.04</v>
      </c>
      <c r="I188" s="23">
        <v>1.0900000000000001</v>
      </c>
      <c r="J188" s="23">
        <v>1.1299999999999999</v>
      </c>
      <c r="K188" s="57">
        <v>1.1599999999999999</v>
      </c>
      <c r="L188" s="44"/>
      <c r="M188" s="32"/>
      <c r="N188" s="32"/>
      <c r="O188" s="45"/>
      <c r="P188" s="22">
        <f>H188*0.7</f>
        <v>0.72799999999999998</v>
      </c>
      <c r="Q188" s="23">
        <f t="shared" si="155"/>
        <v>0.76300000000000001</v>
      </c>
      <c r="R188" s="23">
        <f t="shared" si="156"/>
        <v>0.79099999999999993</v>
      </c>
      <c r="S188" s="57">
        <f t="shared" si="157"/>
        <v>0.81199999999999994</v>
      </c>
      <c r="T188" s="53">
        <v>20</v>
      </c>
      <c r="U188" s="25"/>
      <c r="V188" s="63">
        <f>((JRC_Data!BB9+JRC_Data!BB11)*0.8/1000)*($U$291/$U$288)</f>
        <v>9.9326446280991725</v>
      </c>
      <c r="W188" s="63">
        <f>((JRC_Data!BC9+JRC_Data!BC11)*0.8/1000)*($U$291/$U$288)</f>
        <v>9.9326446280991725</v>
      </c>
      <c r="X188" s="63">
        <f>((JRC_Data!BD9+JRC_Data!BD11)*0.8/1000)*($U$291/$U$288)</f>
        <v>10.625619834710744</v>
      </c>
      <c r="Y188" s="63">
        <f>((JRC_Data!BE9+JRC_Data!BE11)*0.8/1000)*($U$291/$U$288)</f>
        <v>10.625619834710744</v>
      </c>
      <c r="Z188" s="58">
        <f>((JRC_Data!BL9+JRC_Data!BL11)*0.8)/1000</f>
        <v>0.20880000000000001</v>
      </c>
      <c r="AA188" s="66"/>
      <c r="AB188" s="44"/>
      <c r="AC188" s="72">
        <v>0.47</v>
      </c>
      <c r="AD188" s="72"/>
      <c r="AE188" s="72"/>
      <c r="AF188" s="72">
        <v>0.01</v>
      </c>
      <c r="AG188" s="66">
        <v>5</v>
      </c>
      <c r="AH188" s="63">
        <f t="shared" si="149"/>
        <v>1.1983680000000001</v>
      </c>
      <c r="AI188" s="66"/>
      <c r="AJ188" s="66">
        <v>2100</v>
      </c>
      <c r="AK188" s="66">
        <v>38</v>
      </c>
      <c r="AM188" s="100"/>
      <c r="AN188" s="99" t="str">
        <f t="shared" si="158"/>
        <v>R-SW_Det_KER_N1</v>
      </c>
      <c r="AO188" s="99" t="str">
        <f t="shared" si="159"/>
        <v>Residential Kerosene Heating Oil - New 2 SH + WH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40" t="str">
        <f>"R-SH_Det"&amp;"_"&amp;RIGHT(E189,3)&amp;"_N1"</f>
        <v>R-SH_Det_LPG_N1</v>
      </c>
      <c r="D189" s="29" t="s">
        <v>103</v>
      </c>
      <c r="E189" s="30" t="s">
        <v>244</v>
      </c>
      <c r="F189" s="30"/>
      <c r="G189" s="58" t="s">
        <v>622</v>
      </c>
      <c r="H189" s="40">
        <v>1.05</v>
      </c>
      <c r="I189" s="29">
        <v>1.1000000000000001</v>
      </c>
      <c r="J189" s="29">
        <v>1.1499999999999999</v>
      </c>
      <c r="K189" s="58">
        <v>1.2</v>
      </c>
      <c r="L189" s="42"/>
      <c r="M189" s="31"/>
      <c r="N189" s="31"/>
      <c r="O189" s="43"/>
      <c r="P189" s="40"/>
      <c r="Q189" s="29"/>
      <c r="R189" s="29"/>
      <c r="S189" s="58"/>
      <c r="T189" s="54">
        <v>20</v>
      </c>
      <c r="U189" s="41"/>
      <c r="V189" s="349">
        <f t="shared" ref="V189:Y190" si="160">V185+0.3</f>
        <v>3.8249999999999997</v>
      </c>
      <c r="W189" s="349">
        <f t="shared" si="160"/>
        <v>3.8249999999999997</v>
      </c>
      <c r="X189" s="349">
        <f t="shared" si="160"/>
        <v>3.8249999999999997</v>
      </c>
      <c r="Y189" s="349">
        <f t="shared" si="160"/>
        <v>3.8249999999999997</v>
      </c>
      <c r="Z189" s="349">
        <f>SUM(0.12+0.15)</f>
        <v>0.27</v>
      </c>
      <c r="AA189" s="65"/>
      <c r="AB189" s="42"/>
      <c r="AC189" s="71"/>
      <c r="AD189" s="71"/>
      <c r="AE189" s="71"/>
      <c r="AF189" s="71"/>
      <c r="AG189" s="71"/>
      <c r="AH189" s="62">
        <f t="shared" si="149"/>
        <v>0.94608000000000003</v>
      </c>
      <c r="AI189" s="65"/>
      <c r="AJ189" s="65">
        <v>2019</v>
      </c>
      <c r="AK189" s="65">
        <v>30</v>
      </c>
      <c r="AM189" s="100"/>
      <c r="AN189" s="99" t="str">
        <f t="shared" si="158"/>
        <v>R-SW_Det_KER_N2</v>
      </c>
      <c r="AO189" s="99" t="str">
        <f t="shared" si="159"/>
        <v>Residential Kerosene Heating Oil - New 3 SH+WH + Solar</v>
      </c>
      <c r="AP189" s="100" t="s">
        <v>13</v>
      </c>
      <c r="AQ189" s="116" t="s">
        <v>119</v>
      </c>
      <c r="AR189" s="100"/>
      <c r="AT189" s="100" t="s">
        <v>75</v>
      </c>
    </row>
    <row r="190" spans="3:46" ht="15" x14ac:dyDescent="0.25">
      <c r="C190" s="22" t="str">
        <f>"R-SW_Det"&amp;"_"&amp;RIGHT(E190,3)&amp;"_N1"</f>
        <v>R-SW_Det_LPG_N1</v>
      </c>
      <c r="D190" s="23" t="s">
        <v>104</v>
      </c>
      <c r="E190" s="24" t="s">
        <v>244</v>
      </c>
      <c r="F190" s="24"/>
      <c r="G190" s="57" t="s">
        <v>623</v>
      </c>
      <c r="H190" s="22">
        <v>1.05</v>
      </c>
      <c r="I190" s="23">
        <v>1.1000000000000001</v>
      </c>
      <c r="J190" s="23">
        <v>1.1499999999999999</v>
      </c>
      <c r="K190" s="57">
        <v>1.2</v>
      </c>
      <c r="L190" s="44"/>
      <c r="M190" s="32"/>
      <c r="N190" s="32"/>
      <c r="O190" s="45"/>
      <c r="P190" s="22">
        <f>H190*0.7</f>
        <v>0.73499999999999999</v>
      </c>
      <c r="Q190" s="23">
        <f t="shared" ref="Q190" si="161">I190*0.7</f>
        <v>0.77</v>
      </c>
      <c r="R190" s="23">
        <f t="shared" ref="R190" si="162">J190*0.7</f>
        <v>0.80499999999999994</v>
      </c>
      <c r="S190" s="57">
        <f t="shared" ref="S190" si="163">K190*0.7</f>
        <v>0.84</v>
      </c>
      <c r="T190" s="53">
        <v>20</v>
      </c>
      <c r="U190" s="25"/>
      <c r="V190" s="350">
        <f t="shared" si="160"/>
        <v>4.1040057915057915</v>
      </c>
      <c r="W190" s="350">
        <f t="shared" si="160"/>
        <v>4.1040057915057915</v>
      </c>
      <c r="X190" s="350">
        <f t="shared" si="160"/>
        <v>4.1040057915057915</v>
      </c>
      <c r="Y190" s="350">
        <f t="shared" si="160"/>
        <v>4.1040057915057915</v>
      </c>
      <c r="Z190" s="349">
        <f>SUM(0.12+0.15)</f>
        <v>0.27</v>
      </c>
      <c r="AA190" s="66"/>
      <c r="AB190" s="44"/>
      <c r="AC190" s="72"/>
      <c r="AD190" s="72"/>
      <c r="AE190" s="72"/>
      <c r="AF190" s="72"/>
      <c r="AG190" s="72"/>
      <c r="AH190" s="63">
        <f t="shared" si="149"/>
        <v>1.1983680000000001</v>
      </c>
      <c r="AI190" s="66"/>
      <c r="AJ190" s="66">
        <v>2019</v>
      </c>
      <c r="AK190" s="66">
        <v>38</v>
      </c>
      <c r="AM190" s="100"/>
      <c r="AN190" s="99" t="str">
        <f t="shared" si="158"/>
        <v>R-SW_Det_KER_N3</v>
      </c>
      <c r="AO190" s="99" t="str">
        <f t="shared" si="159"/>
        <v>Residential Kerosene Heating Oil - New 3 SH+WH + Wood Stove</v>
      </c>
      <c r="AP190" s="101" t="s">
        <v>13</v>
      </c>
      <c r="AQ190" s="116" t="s">
        <v>119</v>
      </c>
      <c r="AR190" s="100"/>
      <c r="AT190" s="100"/>
    </row>
    <row r="191" spans="3:46" ht="15" x14ac:dyDescent="0.25">
      <c r="C191" s="40" t="str">
        <f>"R-SH_Det"&amp;"_"&amp;RIGHT(E191,3)&amp;"_N1"</f>
        <v>R-SH_Det_WOO_N1</v>
      </c>
      <c r="D191" s="29" t="s">
        <v>105</v>
      </c>
      <c r="E191" s="30" t="s">
        <v>247</v>
      </c>
      <c r="F191" s="30"/>
      <c r="G191" s="58" t="s">
        <v>622</v>
      </c>
      <c r="H191" s="40">
        <v>1.1399999999999999</v>
      </c>
      <c r="I191" s="29">
        <v>1.17</v>
      </c>
      <c r="J191" s="29">
        <v>1.2</v>
      </c>
      <c r="K191" s="58">
        <v>1.23</v>
      </c>
      <c r="L191" s="42"/>
      <c r="M191" s="31"/>
      <c r="N191" s="31"/>
      <c r="O191" s="43"/>
      <c r="P191" s="40"/>
      <c r="Q191" s="29"/>
      <c r="R191" s="29"/>
      <c r="S191" s="58"/>
      <c r="T191" s="54">
        <v>20</v>
      </c>
      <c r="U191" s="41"/>
      <c r="V191" s="349">
        <v>22.5</v>
      </c>
      <c r="W191" s="349">
        <f>V191*0.96777</f>
        <v>21.774825</v>
      </c>
      <c r="X191" s="349">
        <f>V191*0.914844</f>
        <v>20.58399</v>
      </c>
      <c r="Y191" s="349">
        <f>V191*0.8181</f>
        <v>18.407250000000001</v>
      </c>
      <c r="Z191" s="349">
        <v>0.25</v>
      </c>
      <c r="AA191" s="65"/>
      <c r="AB191" s="42"/>
      <c r="AC191" s="71"/>
      <c r="AD191" s="71"/>
      <c r="AE191" s="71"/>
      <c r="AF191" s="71"/>
      <c r="AG191" s="71"/>
      <c r="AH191" s="62">
        <f t="shared" si="149"/>
        <v>0.94608000000000003</v>
      </c>
      <c r="AI191" s="65"/>
      <c r="AJ191" s="65">
        <v>2019</v>
      </c>
      <c r="AK191" s="65">
        <v>30</v>
      </c>
      <c r="AM191" s="100"/>
      <c r="AN191" s="99" t="str">
        <f t="shared" si="158"/>
        <v>R-SH_Det_GAS_N1</v>
      </c>
      <c r="AO191" s="99" t="str">
        <f t="shared" si="159"/>
        <v>Residential Natural Gas Heating - New 1 SH</v>
      </c>
      <c r="AP191" s="100" t="s">
        <v>13</v>
      </c>
      <c r="AQ191" s="116" t="s">
        <v>119</v>
      </c>
      <c r="AR191" s="100"/>
      <c r="AT191" s="100" t="s">
        <v>75</v>
      </c>
    </row>
    <row r="192" spans="3:46" ht="15" x14ac:dyDescent="0.25">
      <c r="C192" s="22" t="str">
        <f>"R-SW_Det"&amp;"_"&amp;RIGHT(E192,3)&amp;"_N1"</f>
        <v>R-SW_Det_WOO_N1</v>
      </c>
      <c r="D192" s="23" t="s">
        <v>106</v>
      </c>
      <c r="E192" s="24" t="s">
        <v>247</v>
      </c>
      <c r="F192" s="24"/>
      <c r="G192" s="57" t="s">
        <v>623</v>
      </c>
      <c r="H192" s="22">
        <v>1.04</v>
      </c>
      <c r="I192" s="23">
        <v>1.0900000000000001</v>
      </c>
      <c r="J192" s="23">
        <v>1.1299999999999999</v>
      </c>
      <c r="K192" s="57">
        <v>1.1599999999999999</v>
      </c>
      <c r="L192" s="44"/>
      <c r="M192" s="32"/>
      <c r="N192" s="32"/>
      <c r="O192" s="45"/>
      <c r="P192" s="22">
        <f t="shared" ref="P192:S192" si="164">H192*0.7</f>
        <v>0.72799999999999998</v>
      </c>
      <c r="Q192" s="23">
        <f t="shared" si="164"/>
        <v>0.76300000000000001</v>
      </c>
      <c r="R192" s="23">
        <f t="shared" si="164"/>
        <v>0.79099999999999993</v>
      </c>
      <c r="S192" s="57">
        <f t="shared" si="164"/>
        <v>0.81199999999999994</v>
      </c>
      <c r="T192" s="53">
        <v>20</v>
      </c>
      <c r="U192" s="25"/>
      <c r="V192" s="350">
        <f>V191*($U$289/$U$288)</f>
        <v>22.778925619834713</v>
      </c>
      <c r="W192" s="350">
        <f>W191*($U$289/$U$288)</f>
        <v>22.04476084710744</v>
      </c>
      <c r="X192" s="350">
        <f>X191*($U$289/$U$288)</f>
        <v>20.839163429752066</v>
      </c>
      <c r="Y192" s="350">
        <f>Y191*($U$289/$U$288)</f>
        <v>18.635439049586779</v>
      </c>
      <c r="Z192" s="350">
        <v>0.25</v>
      </c>
      <c r="AA192" s="66"/>
      <c r="AB192" s="44"/>
      <c r="AC192" s="72"/>
      <c r="AD192" s="72"/>
      <c r="AE192" s="72"/>
      <c r="AF192" s="72"/>
      <c r="AG192" s="72"/>
      <c r="AH192" s="63">
        <f t="shared" si="149"/>
        <v>1.1983680000000001</v>
      </c>
      <c r="AI192" s="66"/>
      <c r="AJ192" s="66">
        <v>2019</v>
      </c>
      <c r="AK192" s="66">
        <v>38</v>
      </c>
      <c r="AM192" s="100"/>
      <c r="AN192" s="99" t="str">
        <f t="shared" si="158"/>
        <v>R-SW_Det_GAS_N1</v>
      </c>
      <c r="AO192" s="99" t="str">
        <f t="shared" si="159"/>
        <v>Residential Natural Gas Heating - New 2 SH + WH</v>
      </c>
      <c r="AP192" s="100" t="s">
        <v>13</v>
      </c>
      <c r="AQ192" s="116" t="s">
        <v>119</v>
      </c>
      <c r="AR192" s="100"/>
      <c r="AT192" s="100" t="s">
        <v>75</v>
      </c>
    </row>
    <row r="193" spans="3:46" ht="15" x14ac:dyDescent="0.25">
      <c r="C193" s="40" t="str">
        <f>"R-SH_Det"&amp;"_"&amp;"FPL"&amp;"_N1"</f>
        <v>R-SH_Det_FPL_N1</v>
      </c>
      <c r="D193" s="29" t="s">
        <v>544</v>
      </c>
      <c r="E193" s="30" t="s">
        <v>541</v>
      </c>
      <c r="F193" s="30"/>
      <c r="G193" s="57" t="s">
        <v>688</v>
      </c>
      <c r="H193" s="40">
        <v>0.55000000000000004</v>
      </c>
      <c r="I193" s="29">
        <v>0.55000000000000004</v>
      </c>
      <c r="J193" s="29">
        <v>0.55000000000000004</v>
      </c>
      <c r="K193" s="58">
        <v>0.55000000000000004</v>
      </c>
      <c r="L193" s="44"/>
      <c r="M193" s="32"/>
      <c r="N193" s="32"/>
      <c r="O193" s="45"/>
      <c r="P193" s="22"/>
      <c r="Q193" s="23"/>
      <c r="R193" s="23"/>
      <c r="S193" s="57"/>
      <c r="T193" s="54">
        <v>20</v>
      </c>
      <c r="U193" s="25"/>
      <c r="V193" s="350">
        <f>((JRC_Data!BB13)/1000)*$U$290</f>
        <v>2.6</v>
      </c>
      <c r="W193" s="350">
        <f>((JRC_Data!BC13)/1000)*$U$290</f>
        <v>2.6</v>
      </c>
      <c r="X193" s="350">
        <f>((JRC_Data!BD13)/1000)*$U$290</f>
        <v>3.5</v>
      </c>
      <c r="Y193" s="350">
        <f>((JRC_Data!BE13)/1000)*$U$290</f>
        <v>3.5</v>
      </c>
      <c r="Z193" s="350">
        <v>0.12</v>
      </c>
      <c r="AA193" s="66"/>
      <c r="AB193" s="44"/>
      <c r="AC193" s="72"/>
      <c r="AD193" s="72"/>
      <c r="AE193" s="72"/>
      <c r="AF193" s="72"/>
      <c r="AG193" s="72"/>
      <c r="AH193" s="63">
        <f t="shared" si="149"/>
        <v>0.94608000000000003</v>
      </c>
      <c r="AI193" s="66"/>
      <c r="AJ193" s="65">
        <v>2018</v>
      </c>
      <c r="AK193" s="66">
        <v>30</v>
      </c>
      <c r="AM193" s="100"/>
      <c r="AN193" s="99" t="str">
        <f t="shared" si="158"/>
        <v>R-SW_Det_GAS_N2</v>
      </c>
      <c r="AO193" s="99" t="str">
        <f t="shared" si="159"/>
        <v>Residential Natural Gas Heating - New 3 SH + WH + Solar</v>
      </c>
      <c r="AP193" s="100" t="s">
        <v>13</v>
      </c>
      <c r="AQ193" s="116" t="s">
        <v>119</v>
      </c>
      <c r="AR193" s="100"/>
      <c r="AT193" s="100" t="s">
        <v>75</v>
      </c>
    </row>
    <row r="194" spans="3:46" ht="15" x14ac:dyDescent="0.25">
      <c r="C194" s="22" t="str">
        <f>"R-SW_Det"&amp;"_"&amp;"FPL"&amp;"_N1"</f>
        <v>R-SW_Det_FPL_N1</v>
      </c>
      <c r="D194" s="23" t="s">
        <v>545</v>
      </c>
      <c r="E194" s="24" t="s">
        <v>541</v>
      </c>
      <c r="F194" s="24"/>
      <c r="G194" s="57" t="s">
        <v>688</v>
      </c>
      <c r="H194" s="22">
        <v>0.55000000000000004</v>
      </c>
      <c r="I194" s="23">
        <v>0.55000000000000004</v>
      </c>
      <c r="J194" s="23">
        <v>0.55000000000000004</v>
      </c>
      <c r="K194" s="57">
        <v>0.55000000000000004</v>
      </c>
      <c r="L194" s="44"/>
      <c r="M194" s="32"/>
      <c r="N194" s="32"/>
      <c r="O194" s="45"/>
      <c r="P194" s="22">
        <f t="shared" ref="P194:P196" si="165">H194*0.7</f>
        <v>0.38500000000000001</v>
      </c>
      <c r="Q194" s="23">
        <f t="shared" ref="Q194:Q196" si="166">I194*0.7</f>
        <v>0.38500000000000001</v>
      </c>
      <c r="R194" s="23">
        <f t="shared" ref="R194:R196" si="167">J194*0.7</f>
        <v>0.38500000000000001</v>
      </c>
      <c r="S194" s="57">
        <f t="shared" ref="S194:S196" si="168">K194*0.7</f>
        <v>0.38500000000000001</v>
      </c>
      <c r="T194" s="53">
        <v>20</v>
      </c>
      <c r="U194" s="25"/>
      <c r="V194" s="350">
        <f>((JRC_Data!BB13)/1000)*$U$291</f>
        <v>2.8057915057915057</v>
      </c>
      <c r="W194" s="350">
        <f>((JRC_Data!BC13)/1000)*$U$291</f>
        <v>2.8057915057915057</v>
      </c>
      <c r="X194" s="350">
        <f>((JRC_Data!BD13)/1000)*$U$291</f>
        <v>3.7770270270270268</v>
      </c>
      <c r="Y194" s="350">
        <f>((JRC_Data!BE13)/1000)*$U$291</f>
        <v>3.7770270270270268</v>
      </c>
      <c r="Z194" s="409">
        <v>0.12</v>
      </c>
      <c r="AA194" s="66"/>
      <c r="AB194" s="44"/>
      <c r="AC194" s="72"/>
      <c r="AD194" s="72"/>
      <c r="AE194" s="72"/>
      <c r="AF194" s="72"/>
      <c r="AG194" s="72"/>
      <c r="AH194" s="63">
        <f t="shared" si="149"/>
        <v>1.1983680000000001</v>
      </c>
      <c r="AI194" s="66"/>
      <c r="AJ194" s="66">
        <v>2018</v>
      </c>
      <c r="AK194" s="66">
        <v>38</v>
      </c>
      <c r="AM194" s="100"/>
      <c r="AN194" s="99" t="str">
        <f t="shared" si="158"/>
        <v>R-SW_Det_GAS_N3</v>
      </c>
      <c r="AO194" s="99" t="str">
        <f t="shared" si="159"/>
        <v>Residential Natural Gas Heating - New 4 SH + WH + Wood Stove</v>
      </c>
      <c r="AP194" s="100" t="s">
        <v>13</v>
      </c>
      <c r="AQ194" s="116" t="s">
        <v>119</v>
      </c>
      <c r="AR194" s="100"/>
      <c r="AT194" s="100" t="s">
        <v>75</v>
      </c>
    </row>
    <row r="195" spans="3:46" ht="15" x14ac:dyDescent="0.25">
      <c r="C195" s="40" t="s">
        <v>701</v>
      </c>
      <c r="D195" s="29" t="s">
        <v>703</v>
      </c>
      <c r="E195" s="30" t="s">
        <v>249</v>
      </c>
      <c r="F195" s="30"/>
      <c r="G195" s="58" t="s">
        <v>622</v>
      </c>
      <c r="H195" s="40">
        <v>1.05</v>
      </c>
      <c r="I195" s="29">
        <v>1.1000000000000001</v>
      </c>
      <c r="J195" s="29">
        <v>1.1499999999999999</v>
      </c>
      <c r="K195" s="58">
        <v>1.2</v>
      </c>
      <c r="L195" s="42"/>
      <c r="M195" s="31"/>
      <c r="N195" s="31"/>
      <c r="O195" s="43"/>
      <c r="P195" s="40"/>
      <c r="Q195" s="29"/>
      <c r="R195" s="29"/>
      <c r="S195" s="58"/>
      <c r="T195" s="54">
        <v>20</v>
      </c>
      <c r="U195" s="41"/>
      <c r="V195" s="62">
        <f>V181</f>
        <v>4.5825000000000005</v>
      </c>
      <c r="W195" s="62">
        <f t="shared" ref="W195:Z195" si="169">W181</f>
        <v>4.5825000000000005</v>
      </c>
      <c r="X195" s="62">
        <f t="shared" si="169"/>
        <v>4.5825000000000005</v>
      </c>
      <c r="Y195" s="62">
        <f t="shared" si="169"/>
        <v>4.5825000000000005</v>
      </c>
      <c r="Z195" s="62">
        <f t="shared" si="169"/>
        <v>0.12</v>
      </c>
      <c r="AA195" s="65"/>
      <c r="AB195" s="42"/>
      <c r="AC195" s="71"/>
      <c r="AD195" s="71"/>
      <c r="AE195" s="71"/>
      <c r="AF195" s="71"/>
      <c r="AG195" s="71"/>
      <c r="AH195" s="62">
        <f t="shared" si="149"/>
        <v>0.94608000000000003</v>
      </c>
      <c r="AI195" s="65"/>
      <c r="AJ195" s="65">
        <v>2019</v>
      </c>
      <c r="AK195" s="65">
        <v>30</v>
      </c>
      <c r="AM195" s="100"/>
      <c r="AN195" s="99" t="str">
        <f t="shared" si="158"/>
        <v>R-SH_Det_LPG_N1</v>
      </c>
      <c r="AO195" s="99" t="str">
        <f t="shared" si="159"/>
        <v>Residential Liquid Petroleum Gas- New 1 SH</v>
      </c>
      <c r="AP195" s="100" t="s">
        <v>13</v>
      </c>
      <c r="AQ195" s="116" t="s">
        <v>119</v>
      </c>
      <c r="AR195" s="100"/>
      <c r="AT195" s="100" t="s">
        <v>75</v>
      </c>
    </row>
    <row r="196" spans="3:46" ht="15" x14ac:dyDescent="0.25">
      <c r="C196" s="22" t="s">
        <v>702</v>
      </c>
      <c r="D196" s="23" t="s">
        <v>704</v>
      </c>
      <c r="E196" s="24" t="s">
        <v>249</v>
      </c>
      <c r="F196" s="24"/>
      <c r="G196" s="57" t="s">
        <v>623</v>
      </c>
      <c r="H196" s="22">
        <v>1.05</v>
      </c>
      <c r="I196" s="23">
        <v>1.1000000000000001</v>
      </c>
      <c r="J196" s="23">
        <v>1.1499999999999999</v>
      </c>
      <c r="K196" s="57">
        <v>1.2</v>
      </c>
      <c r="L196" s="49"/>
      <c r="M196" s="50"/>
      <c r="N196" s="50"/>
      <c r="O196" s="51"/>
      <c r="P196" s="226">
        <f t="shared" si="165"/>
        <v>0.73499999999999999</v>
      </c>
      <c r="Q196" s="26">
        <f t="shared" si="166"/>
        <v>0.77</v>
      </c>
      <c r="R196" s="26">
        <f t="shared" si="167"/>
        <v>0.80499999999999994</v>
      </c>
      <c r="S196" s="59">
        <f t="shared" si="168"/>
        <v>0.84</v>
      </c>
      <c r="T196" s="55">
        <v>20</v>
      </c>
      <c r="U196" s="28"/>
      <c r="V196" s="62">
        <f>V182</f>
        <v>4.9452075289575284</v>
      </c>
      <c r="W196" s="62">
        <f t="shared" ref="W196:Z196" si="170">W182</f>
        <v>4.9452075289575284</v>
      </c>
      <c r="X196" s="62">
        <f t="shared" si="170"/>
        <v>4.9452075289575284</v>
      </c>
      <c r="Y196" s="62">
        <f t="shared" si="170"/>
        <v>4.9452075289575284</v>
      </c>
      <c r="Z196" s="62">
        <f t="shared" si="170"/>
        <v>0.12</v>
      </c>
      <c r="AA196" s="66"/>
      <c r="AB196" s="44"/>
      <c r="AC196" s="72"/>
      <c r="AD196" s="72"/>
      <c r="AE196" s="72"/>
      <c r="AF196" s="72"/>
      <c r="AG196" s="72"/>
      <c r="AH196" s="63">
        <f t="shared" si="149"/>
        <v>1.1983680000000001</v>
      </c>
      <c r="AI196" s="67"/>
      <c r="AJ196" s="67">
        <v>2019</v>
      </c>
      <c r="AK196" s="67">
        <v>38</v>
      </c>
      <c r="AL196" s="4"/>
      <c r="AM196" s="100"/>
      <c r="AN196" s="99" t="str">
        <f t="shared" si="158"/>
        <v>R-SW_Det_LPG_N1</v>
      </c>
      <c r="AO196" s="99" t="str">
        <f t="shared" si="159"/>
        <v>Residential Liquid Petroleum Gas- New 2 SH + WH</v>
      </c>
      <c r="AP196" s="100" t="s">
        <v>13</v>
      </c>
      <c r="AQ196" s="116" t="s">
        <v>119</v>
      </c>
      <c r="AR196" s="100"/>
      <c r="AT196" s="100" t="s">
        <v>75</v>
      </c>
    </row>
    <row r="197" spans="3:46" ht="15" x14ac:dyDescent="0.25">
      <c r="C197" s="33" t="s">
        <v>254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  <c r="AL197" s="4"/>
      <c r="AM197" s="100"/>
      <c r="AN197" s="205" t="str">
        <f t="shared" si="158"/>
        <v>R-SH_Det_WOO_N1</v>
      </c>
      <c r="AO197" s="205" t="str">
        <f t="shared" si="159"/>
        <v>Residential Biomass Boiler - New 1 SH</v>
      </c>
      <c r="AP197" s="100" t="s">
        <v>13</v>
      </c>
      <c r="AQ197" s="116" t="s">
        <v>119</v>
      </c>
      <c r="AR197" s="100"/>
      <c r="AT197" s="100" t="s">
        <v>75</v>
      </c>
    </row>
    <row r="198" spans="3:46" ht="15" x14ac:dyDescent="0.25">
      <c r="C198" s="92" t="str">
        <f>"R-SH_Det"&amp;"_"&amp;RIGHT(E198,3)&amp;"_N1"</f>
        <v>R-SH_Det_ELC_N1</v>
      </c>
      <c r="D198" s="79" t="s">
        <v>107</v>
      </c>
      <c r="E198" s="114" t="s">
        <v>144</v>
      </c>
      <c r="F198" s="114"/>
      <c r="G198" s="80" t="s">
        <v>622</v>
      </c>
      <c r="H198" s="223">
        <v>1</v>
      </c>
      <c r="I198" s="224">
        <v>1</v>
      </c>
      <c r="J198" s="224">
        <v>1</v>
      </c>
      <c r="K198" s="225">
        <v>1</v>
      </c>
      <c r="L198" s="73"/>
      <c r="M198" s="74"/>
      <c r="N198" s="74"/>
      <c r="O198" s="75"/>
      <c r="P198" s="73"/>
      <c r="Q198" s="74"/>
      <c r="R198" s="74"/>
      <c r="S198" s="75"/>
      <c r="T198" s="76">
        <v>20</v>
      </c>
      <c r="U198" s="77"/>
      <c r="V198" s="78">
        <f>(JRC_Data!BB48/1000)*($U$290/$U$283)</f>
        <v>5.0568154607490738</v>
      </c>
      <c r="W198" s="78">
        <f>(JRC_Data!BC48/1000)*($U$290/$U$283)</f>
        <v>5.0568154607490738</v>
      </c>
      <c r="X198" s="78">
        <f>(JRC_Data!BD48/1000)*($U$290/$U$283)</f>
        <v>5.0568154607490738</v>
      </c>
      <c r="Y198" s="78">
        <f>(JRC_Data!BE48/1000)*($U$290/$U$283)</f>
        <v>5.0568154607490738</v>
      </c>
      <c r="Z198" s="81">
        <f>JRC_Data!BL48/1000</f>
        <v>0.05</v>
      </c>
      <c r="AA198" s="82"/>
      <c r="AB198" s="83"/>
      <c r="AC198" s="83"/>
      <c r="AD198" s="83"/>
      <c r="AE198" s="83"/>
      <c r="AF198" s="83"/>
      <c r="AG198" s="83"/>
      <c r="AH198" s="81">
        <f t="shared" si="149"/>
        <v>0.94608000000000003</v>
      </c>
      <c r="AI198" s="82"/>
      <c r="AJ198" s="82">
        <v>2019</v>
      </c>
      <c r="AK198" s="82">
        <v>30</v>
      </c>
      <c r="AL198" s="4"/>
      <c r="AM198" s="100"/>
      <c r="AN198" s="205" t="str">
        <f t="shared" si="158"/>
        <v>R-SW_Det_WOO_N1</v>
      </c>
      <c r="AO198" s="205" t="str">
        <f t="shared" si="159"/>
        <v>Residential Biomass Boiler - New 2 SH + WH</v>
      </c>
      <c r="AP198" s="100" t="s">
        <v>13</v>
      </c>
      <c r="AQ198" s="116" t="s">
        <v>119</v>
      </c>
      <c r="AR198" s="100"/>
      <c r="AT198" s="100" t="s">
        <v>75</v>
      </c>
    </row>
    <row r="199" spans="3:46" ht="15.75" thickBot="1" x14ac:dyDescent="0.3">
      <c r="C199" s="33" t="s">
        <v>255</v>
      </c>
      <c r="D199" s="33"/>
      <c r="E199" s="34"/>
      <c r="F199" s="34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4"/>
      <c r="U199" s="34"/>
      <c r="V199" s="33"/>
      <c r="W199" s="33"/>
      <c r="X199" s="33"/>
      <c r="Y199" s="33"/>
      <c r="Z199" s="33"/>
      <c r="AA199" s="34"/>
      <c r="AB199" s="36"/>
      <c r="AC199" s="36"/>
      <c r="AD199" s="36"/>
      <c r="AE199" s="36"/>
      <c r="AF199" s="36"/>
      <c r="AG199" s="36"/>
      <c r="AH199" s="33"/>
      <c r="AI199" s="34"/>
      <c r="AJ199" s="34"/>
      <c r="AK199" s="34"/>
      <c r="AL199" s="4"/>
      <c r="AM199" s="100"/>
      <c r="AN199" s="101" t="s">
        <v>546</v>
      </c>
      <c r="AO199" s="205" t="str">
        <f>D193</f>
        <v>Residential  Stove New 1 - SH</v>
      </c>
      <c r="AP199" s="100" t="s">
        <v>13</v>
      </c>
      <c r="AQ199" s="116" t="s">
        <v>119</v>
      </c>
      <c r="AR199" s="100"/>
      <c r="AT199" s="100"/>
    </row>
    <row r="200" spans="3:46" ht="15" x14ac:dyDescent="0.25">
      <c r="C200" s="510" t="str">
        <f>"R-SH_Det"&amp;"_"&amp;RIGHT(E200,3)&amp;"_HPN1"</f>
        <v>R-SH_Det_ELC_HPN1</v>
      </c>
      <c r="D200" s="513" t="s">
        <v>109</v>
      </c>
      <c r="E200" s="511" t="s">
        <v>144</v>
      </c>
      <c r="F200" s="511" t="s">
        <v>539</v>
      </c>
      <c r="G200" s="514" t="s">
        <v>622</v>
      </c>
      <c r="H200" s="512">
        <v>1</v>
      </c>
      <c r="I200" s="513">
        <v>1.0666666666666667</v>
      </c>
      <c r="J200" s="513">
        <v>1.2333333333333334</v>
      </c>
      <c r="K200" s="514">
        <v>1.3333333333333333</v>
      </c>
      <c r="L200" s="573"/>
      <c r="M200" s="539"/>
      <c r="N200" s="539"/>
      <c r="O200" s="574"/>
      <c r="P200" s="512"/>
      <c r="Q200" s="513"/>
      <c r="R200" s="513"/>
      <c r="S200" s="514"/>
      <c r="T200" s="575">
        <v>20</v>
      </c>
      <c r="U200" s="576"/>
      <c r="V200" s="515">
        <f>(JRC_Data!BB16/1000)*($U$290/$U$289)</f>
        <v>2.3257142857142861</v>
      </c>
      <c r="W200" s="515">
        <f>(JRC_Data!BC16/1000)*($U$290/$U$289)</f>
        <v>2.2200000000000002</v>
      </c>
      <c r="X200" s="515">
        <f>(JRC_Data!BD16/1000)*($U$290/$U$289)</f>
        <v>2.0085714285714285</v>
      </c>
      <c r="Y200" s="515">
        <f>(JRC_Data!BE16/1000)*($U$290/$U$289)</f>
        <v>1.902857142857143</v>
      </c>
      <c r="Z200" s="514">
        <f>JRC_Data!BL16/1000</f>
        <v>3.4000000000000002E-2</v>
      </c>
      <c r="AA200" s="516"/>
      <c r="AB200" s="573"/>
      <c r="AC200" s="517"/>
      <c r="AD200" s="517"/>
      <c r="AE200" s="517"/>
      <c r="AF200" s="517"/>
      <c r="AG200" s="577"/>
      <c r="AH200" s="515">
        <f t="shared" si="149"/>
        <v>0.94608000000000003</v>
      </c>
      <c r="AI200" s="516"/>
      <c r="AJ200" s="516">
        <v>2100</v>
      </c>
      <c r="AK200" s="518">
        <v>30</v>
      </c>
      <c r="AL200" s="4"/>
      <c r="AM200" s="100"/>
      <c r="AN200" s="101" t="s">
        <v>547</v>
      </c>
      <c r="AO200" s="205" t="str">
        <f>D194</f>
        <v>Residential  Stove with back boiler New 1 - SH +WH</v>
      </c>
      <c r="AP200" s="100" t="s">
        <v>13</v>
      </c>
      <c r="AQ200" s="116" t="s">
        <v>119</v>
      </c>
      <c r="AR200" s="100"/>
      <c r="AT200" s="100"/>
    </row>
    <row r="201" spans="3:46" ht="15.75" thickBot="1" x14ac:dyDescent="0.3">
      <c r="C201" s="523" t="str">
        <f>"R-HC_Det"&amp;"_"&amp;RIGHT(E201,3)&amp;"_HPN1"</f>
        <v>R-HC_Det_ELC_HPN1</v>
      </c>
      <c r="D201" s="526" t="s">
        <v>110</v>
      </c>
      <c r="E201" s="524" t="s">
        <v>144</v>
      </c>
      <c r="F201" s="524" t="s">
        <v>539</v>
      </c>
      <c r="G201" s="527" t="s">
        <v>624</v>
      </c>
      <c r="H201" s="525">
        <v>1</v>
      </c>
      <c r="I201" s="526">
        <v>1.0666666666666667</v>
      </c>
      <c r="J201" s="526">
        <v>1.2333333333333334</v>
      </c>
      <c r="K201" s="527">
        <v>1.3333333333333333</v>
      </c>
      <c r="L201" s="578">
        <f>H201*0.9</f>
        <v>0.9</v>
      </c>
      <c r="M201" s="542">
        <f t="shared" ref="M201:O201" si="171">I201*0.9</f>
        <v>0.96</v>
      </c>
      <c r="N201" s="542">
        <f t="shared" si="171"/>
        <v>1.1100000000000001</v>
      </c>
      <c r="O201" s="579">
        <f t="shared" si="171"/>
        <v>1.2</v>
      </c>
      <c r="P201" s="525"/>
      <c r="Q201" s="526"/>
      <c r="R201" s="526"/>
      <c r="S201" s="527"/>
      <c r="T201" s="580">
        <v>20</v>
      </c>
      <c r="U201" s="581"/>
      <c r="V201" s="528">
        <f>(JRC_Data!BB16/1000)*($U$291/$U$289)</f>
        <v>2.5097959183673471</v>
      </c>
      <c r="W201" s="528">
        <f>(JRC_Data!BC16/1000)*($U$291/$U$289)</f>
        <v>2.3957142857142855</v>
      </c>
      <c r="X201" s="528">
        <f>(JRC_Data!BD16/1000)*($U$291/$U$289)</f>
        <v>2.1675510204081632</v>
      </c>
      <c r="Y201" s="528">
        <f>(JRC_Data!BE16/1000)*($U$291/$U$289)</f>
        <v>2.053469387755102</v>
      </c>
      <c r="Z201" s="582">
        <f>JRC_Data!BL16/1000</f>
        <v>3.4000000000000002E-2</v>
      </c>
      <c r="AA201" s="529"/>
      <c r="AB201" s="578"/>
      <c r="AC201" s="530"/>
      <c r="AD201" s="530"/>
      <c r="AE201" s="530"/>
      <c r="AF201" s="530"/>
      <c r="AG201" s="529"/>
      <c r="AH201" s="528">
        <f t="shared" si="149"/>
        <v>1.1983680000000001</v>
      </c>
      <c r="AI201" s="529"/>
      <c r="AJ201" s="529">
        <v>2100</v>
      </c>
      <c r="AK201" s="531">
        <v>38</v>
      </c>
      <c r="AL201" s="4"/>
      <c r="AM201" s="100"/>
      <c r="AN201" s="205" t="str">
        <f>C195</f>
        <v>R-SH_Det_BDL_N1</v>
      </c>
      <c r="AO201" s="205" t="str">
        <f>D195</f>
        <v>Residential  Biodiesel boiler - New 1 SH</v>
      </c>
      <c r="AP201" s="100" t="s">
        <v>13</v>
      </c>
      <c r="AQ201" s="116" t="s">
        <v>119</v>
      </c>
      <c r="AR201" s="100"/>
      <c r="AT201" s="100" t="s">
        <v>75</v>
      </c>
    </row>
    <row r="202" spans="3:46" ht="15.75" thickBot="1" x14ac:dyDescent="0.3">
      <c r="C202" s="510" t="str">
        <f>"R-SH_Det"&amp;"_"&amp;RIGHT(E202,3)&amp;"_HPN2-AB"</f>
        <v>R-SH_Det_ELC_HPN2-AB</v>
      </c>
      <c r="D202" s="513" t="s">
        <v>759</v>
      </c>
      <c r="E202" s="511" t="s">
        <v>144</v>
      </c>
      <c r="F202" s="511" t="s">
        <v>539</v>
      </c>
      <c r="G202" s="514" t="s">
        <v>626</v>
      </c>
      <c r="H202" s="512">
        <v>1</v>
      </c>
      <c r="I202" s="513">
        <v>1.0999999999999999</v>
      </c>
      <c r="J202" s="513">
        <v>1.2333333333333334</v>
      </c>
      <c r="K202" s="514">
        <v>1.3333333333333333</v>
      </c>
      <c r="L202" s="573"/>
      <c r="M202" s="539"/>
      <c r="N202" s="539"/>
      <c r="O202" s="574"/>
      <c r="P202" s="512"/>
      <c r="Q202" s="513"/>
      <c r="R202" s="513"/>
      <c r="S202" s="514"/>
      <c r="T202" s="575">
        <v>20</v>
      </c>
      <c r="U202" s="576"/>
      <c r="V202" s="515">
        <f>JRC_Data!BC18/1000*($U$290/$U$285)</f>
        <v>11.511111111111109</v>
      </c>
      <c r="W202" s="515">
        <f>V202*0.91</f>
        <v>10.47511111111111</v>
      </c>
      <c r="X202" s="515">
        <f>W202*0.91</f>
        <v>9.5323511111111099</v>
      </c>
      <c r="Y202" s="515">
        <f>V202*0.82</f>
        <v>9.4391111111111083</v>
      </c>
      <c r="Z202" s="514">
        <f>JRC_Data!$BL$18/1000*($U$290/$U$285)</f>
        <v>0.17266666666666663</v>
      </c>
      <c r="AA202" s="516"/>
      <c r="AB202" s="573"/>
      <c r="AC202" s="517"/>
      <c r="AD202" s="517"/>
      <c r="AE202" s="517"/>
      <c r="AF202" s="517"/>
      <c r="AG202" s="577"/>
      <c r="AH202" s="515">
        <f t="shared" si="149"/>
        <v>0.94608000000000003</v>
      </c>
      <c r="AI202" s="516"/>
      <c r="AJ202" s="516">
        <v>2019</v>
      </c>
      <c r="AK202" s="518">
        <v>30</v>
      </c>
      <c r="AL202" s="4"/>
      <c r="AM202" s="100"/>
      <c r="AN202" s="205" t="str">
        <f>C196</f>
        <v>R-SW_Det_BDL_N1</v>
      </c>
      <c r="AO202" s="205" t="str">
        <f>D196</f>
        <v>Residential  Biodiesel boiler  - New 1 SH + WH</v>
      </c>
      <c r="AP202" s="100" t="s">
        <v>13</v>
      </c>
      <c r="AQ202" s="116" t="s">
        <v>119</v>
      </c>
      <c r="AR202" s="100"/>
      <c r="AT202" s="100" t="s">
        <v>75</v>
      </c>
    </row>
    <row r="203" spans="3:46" ht="15.75" thickBot="1" x14ac:dyDescent="0.3">
      <c r="C203" s="519" t="str">
        <f>"R-SH_Det"&amp;"_"&amp;RIGHT(E203,3)&amp;"_HPN2-ABC"</f>
        <v>R-SH_Det_ELC_HPN2-ABC</v>
      </c>
      <c r="D203" s="23" t="s">
        <v>758</v>
      </c>
      <c r="E203" s="24" t="s">
        <v>144</v>
      </c>
      <c r="F203" s="24" t="s">
        <v>539</v>
      </c>
      <c r="G203" s="57" t="s">
        <v>648</v>
      </c>
      <c r="H203" s="22">
        <v>1</v>
      </c>
      <c r="I203" s="23">
        <v>1.0999999999999999</v>
      </c>
      <c r="J203" s="23">
        <v>1.2333333333333334</v>
      </c>
      <c r="K203" s="57">
        <v>1.3333333333333333</v>
      </c>
      <c r="L203" s="44"/>
      <c r="M203" s="32"/>
      <c r="N203" s="32"/>
      <c r="O203" s="45"/>
      <c r="P203" s="22"/>
      <c r="Q203" s="23"/>
      <c r="R203" s="23"/>
      <c r="S203" s="57"/>
      <c r="T203" s="53">
        <v>20</v>
      </c>
      <c r="U203" s="25"/>
      <c r="V203" s="63">
        <v>11.511111111111109</v>
      </c>
      <c r="W203" s="63">
        <v>10.47511111111111</v>
      </c>
      <c r="X203" s="63">
        <v>9.5323511111111099</v>
      </c>
      <c r="Y203" s="63">
        <v>9.4391111111111083</v>
      </c>
      <c r="Z203" s="514">
        <f>JRC_Data!$BL$18/1000*($U$290/$U$285)</f>
        <v>0.17266666666666663</v>
      </c>
      <c r="AA203" s="66"/>
      <c r="AB203" s="44"/>
      <c r="AC203" s="72"/>
      <c r="AD203" s="72"/>
      <c r="AE203" s="72"/>
      <c r="AF203" s="72"/>
      <c r="AG203" s="66"/>
      <c r="AH203" s="63">
        <v>0.94608000000000003</v>
      </c>
      <c r="AI203" s="66"/>
      <c r="AJ203" s="66">
        <v>2019</v>
      </c>
      <c r="AK203" s="520">
        <v>30</v>
      </c>
      <c r="AL203" s="4"/>
      <c r="AM203" s="100"/>
      <c r="AN203" s="205" t="str">
        <f>C198</f>
        <v>R-SH_Det_ELC_N1</v>
      </c>
      <c r="AO203" s="205" t="str">
        <f>D198</f>
        <v>Residential Electric Heater - New 1 SH</v>
      </c>
      <c r="AP203" s="100" t="s">
        <v>13</v>
      </c>
      <c r="AQ203" s="116" t="s">
        <v>119</v>
      </c>
      <c r="AR203" s="100" t="s">
        <v>684</v>
      </c>
      <c r="AT203" s="100" t="s">
        <v>75</v>
      </c>
    </row>
    <row r="204" spans="3:46" ht="15.75" thickBot="1" x14ac:dyDescent="0.3">
      <c r="C204" s="521" t="str">
        <f>"R-SH_Det"&amp;"_"&amp;RIGHT(E204,3)&amp;"_HPN2-ABD"</f>
        <v>R-SH_Det_ELC_HPN2-ABD</v>
      </c>
      <c r="D204" s="29" t="s">
        <v>760</v>
      </c>
      <c r="E204" s="30" t="s">
        <v>144</v>
      </c>
      <c r="F204" s="30" t="s">
        <v>539</v>
      </c>
      <c r="G204" s="58" t="s">
        <v>649</v>
      </c>
      <c r="H204" s="40">
        <v>1</v>
      </c>
      <c r="I204" s="29">
        <v>1.0999999999999999</v>
      </c>
      <c r="J204" s="29">
        <v>1.2333333333333334</v>
      </c>
      <c r="K204" s="58">
        <v>1.3333333333333333</v>
      </c>
      <c r="L204" s="42"/>
      <c r="M204" s="31"/>
      <c r="N204" s="31"/>
      <c r="O204" s="43"/>
      <c r="P204" s="40"/>
      <c r="Q204" s="29"/>
      <c r="R204" s="29"/>
      <c r="S204" s="58"/>
      <c r="T204" s="54">
        <v>20</v>
      </c>
      <c r="U204" s="41"/>
      <c r="V204" s="62">
        <v>11.511111111111109</v>
      </c>
      <c r="W204" s="62">
        <v>10.47511111111111</v>
      </c>
      <c r="X204" s="62">
        <v>9.5323511111111099</v>
      </c>
      <c r="Y204" s="62">
        <v>9.4391111111111083</v>
      </c>
      <c r="Z204" s="514">
        <f>JRC_Data!$BL$18/1000*($U$290/$U$285)</f>
        <v>0.17266666666666663</v>
      </c>
      <c r="AA204" s="65"/>
      <c r="AB204" s="42"/>
      <c r="AC204" s="71"/>
      <c r="AD204" s="71"/>
      <c r="AE204" s="71"/>
      <c r="AF204" s="71"/>
      <c r="AG204" s="209"/>
      <c r="AH204" s="62">
        <v>0.94608000000000003</v>
      </c>
      <c r="AI204" s="65"/>
      <c r="AJ204" s="65">
        <v>2019</v>
      </c>
      <c r="AK204" s="522">
        <v>30</v>
      </c>
      <c r="AL204" s="4"/>
      <c r="AM204" s="100"/>
      <c r="AN204" s="205" t="str">
        <f t="shared" ref="AN204:AO206" si="172">C200</f>
        <v>R-SH_Det_ELC_HPN1</v>
      </c>
      <c r="AO204" s="205" t="str">
        <f t="shared" si="172"/>
        <v>Residential Electric Heat Pump - Air to Air - SH</v>
      </c>
      <c r="AP204" s="100" t="s">
        <v>13</v>
      </c>
      <c r="AQ204" s="116" t="s">
        <v>119</v>
      </c>
      <c r="AR204" s="100" t="s">
        <v>684</v>
      </c>
      <c r="AT204" s="100" t="s">
        <v>75</v>
      </c>
    </row>
    <row r="205" spans="3:46" ht="15.75" thickBot="1" x14ac:dyDescent="0.3">
      <c r="C205" s="519" t="str">
        <f>"R-SH_Det"&amp;"_"&amp;RIGHT(E205,3)&amp;"_HPN2-ABE"</f>
        <v>R-SH_Det_ELC_HPN2-ABE</v>
      </c>
      <c r="D205" s="23" t="s">
        <v>761</v>
      </c>
      <c r="E205" s="24" t="s">
        <v>144</v>
      </c>
      <c r="F205" s="24" t="s">
        <v>539</v>
      </c>
      <c r="G205" s="57" t="s">
        <v>650</v>
      </c>
      <c r="H205" s="22">
        <v>1</v>
      </c>
      <c r="I205" s="23">
        <v>1.0999999999999999</v>
      </c>
      <c r="J205" s="23">
        <v>1.2333333333333334</v>
      </c>
      <c r="K205" s="57">
        <v>1.3333333333333333</v>
      </c>
      <c r="L205" s="44"/>
      <c r="M205" s="32"/>
      <c r="N205" s="32"/>
      <c r="O205" s="45"/>
      <c r="P205" s="22"/>
      <c r="Q205" s="23"/>
      <c r="R205" s="23"/>
      <c r="S205" s="57"/>
      <c r="T205" s="53">
        <v>20</v>
      </c>
      <c r="U205" s="25"/>
      <c r="V205" s="63">
        <v>11.511111111111109</v>
      </c>
      <c r="W205" s="63">
        <v>10.47511111111111</v>
      </c>
      <c r="X205" s="63">
        <v>9.5323511111111099</v>
      </c>
      <c r="Y205" s="63">
        <v>9.4391111111111083</v>
      </c>
      <c r="Z205" s="514">
        <f>JRC_Data!$BL$18/1000*($U$290/$U$285)</f>
        <v>0.17266666666666663</v>
      </c>
      <c r="AA205" s="66"/>
      <c r="AB205" s="44"/>
      <c r="AC205" s="72"/>
      <c r="AD205" s="72"/>
      <c r="AE205" s="72"/>
      <c r="AF205" s="72"/>
      <c r="AG205" s="66"/>
      <c r="AH205" s="63">
        <v>0.94608000000000003</v>
      </c>
      <c r="AI205" s="66"/>
      <c r="AJ205" s="66">
        <v>2019</v>
      </c>
      <c r="AK205" s="520">
        <v>30</v>
      </c>
      <c r="AL205" s="4"/>
      <c r="AM205" s="100"/>
      <c r="AN205" s="205" t="str">
        <f t="shared" si="172"/>
        <v>R-HC_Det_ELC_HPN1</v>
      </c>
      <c r="AO205" s="205" t="str">
        <f t="shared" si="172"/>
        <v>Residential Electric Heat Pump - Air to Air - SH + SC</v>
      </c>
      <c r="AP205" s="100" t="s">
        <v>13</v>
      </c>
      <c r="AQ205" s="116" t="s">
        <v>119</v>
      </c>
      <c r="AR205" s="100" t="s">
        <v>684</v>
      </c>
      <c r="AT205" s="100" t="s">
        <v>75</v>
      </c>
    </row>
    <row r="206" spans="3:46" ht="15.75" thickBot="1" x14ac:dyDescent="0.3">
      <c r="C206" s="521" t="str">
        <f>"R-SH_Det"&amp;"_"&amp;RIGHT(E206,3)&amp;"_HPN2-ABF"</f>
        <v>R-SH_Det_ELC_HPN2-ABF</v>
      </c>
      <c r="D206" s="29" t="s">
        <v>782</v>
      </c>
      <c r="E206" s="30" t="s">
        <v>144</v>
      </c>
      <c r="F206" s="30" t="s">
        <v>539</v>
      </c>
      <c r="G206" s="58" t="s">
        <v>652</v>
      </c>
      <c r="H206" s="40">
        <v>1</v>
      </c>
      <c r="I206" s="29">
        <v>1.0999999999999999</v>
      </c>
      <c r="J206" s="29">
        <v>1.2333333333333334</v>
      </c>
      <c r="K206" s="58">
        <v>1.3333333333333333</v>
      </c>
      <c r="L206" s="42"/>
      <c r="M206" s="31"/>
      <c r="N206" s="31"/>
      <c r="O206" s="43"/>
      <c r="P206" s="40"/>
      <c r="Q206" s="29"/>
      <c r="R206" s="29"/>
      <c r="S206" s="58"/>
      <c r="T206" s="54">
        <v>20</v>
      </c>
      <c r="U206" s="41"/>
      <c r="V206" s="62">
        <v>11.511111111111109</v>
      </c>
      <c r="W206" s="62">
        <v>10.47511111111111</v>
      </c>
      <c r="X206" s="62">
        <v>9.5323511111111099</v>
      </c>
      <c r="Y206" s="62">
        <v>9.4391111111111083</v>
      </c>
      <c r="Z206" s="514">
        <f>JRC_Data!$BL$18/1000*($U$290/$U$285)</f>
        <v>0.17266666666666663</v>
      </c>
      <c r="AA206" s="65"/>
      <c r="AB206" s="42"/>
      <c r="AC206" s="71"/>
      <c r="AD206" s="71"/>
      <c r="AE206" s="71"/>
      <c r="AF206" s="71"/>
      <c r="AG206" s="209"/>
      <c r="AH206" s="62">
        <v>0.94608000000000003</v>
      </c>
      <c r="AI206" s="65"/>
      <c r="AJ206" s="65">
        <v>2019</v>
      </c>
      <c r="AK206" s="522">
        <v>30</v>
      </c>
      <c r="AL206" s="4"/>
      <c r="AM206" s="100"/>
      <c r="AN206" s="205" t="str">
        <f t="shared" si="172"/>
        <v>R-SH_Det_ELC_HPN2-AB</v>
      </c>
      <c r="AO206" s="205" t="str">
        <f t="shared" si="172"/>
        <v>Residential Electric Heat Pump AB - Air to Water - SH - AB rated dwelling</v>
      </c>
      <c r="AP206" s="100" t="s">
        <v>13</v>
      </c>
      <c r="AQ206" s="116" t="s">
        <v>119</v>
      </c>
      <c r="AR206" s="100" t="s">
        <v>684</v>
      </c>
      <c r="AT206" s="100" t="s">
        <v>75</v>
      </c>
    </row>
    <row r="207" spans="3:46" ht="15.75" thickBot="1" x14ac:dyDescent="0.3">
      <c r="C207" s="519" t="str">
        <f>"R-SH_Det"&amp;"_"&amp;RIGHT(E207,3)&amp;"_HPN2-ABG"</f>
        <v>R-SH_Det_ELC_HPN2-ABG</v>
      </c>
      <c r="D207" s="23" t="s">
        <v>763</v>
      </c>
      <c r="E207" s="24" t="s">
        <v>144</v>
      </c>
      <c r="F207" s="24" t="s">
        <v>539</v>
      </c>
      <c r="G207" s="57" t="s">
        <v>651</v>
      </c>
      <c r="H207" s="22">
        <v>1</v>
      </c>
      <c r="I207" s="23">
        <v>1.0999999999999999</v>
      </c>
      <c r="J207" s="23">
        <v>1.2333333333333334</v>
      </c>
      <c r="K207" s="57">
        <v>1.3333333333333333</v>
      </c>
      <c r="L207" s="44"/>
      <c r="M207" s="32"/>
      <c r="N207" s="32"/>
      <c r="O207" s="45"/>
      <c r="P207" s="22"/>
      <c r="Q207" s="23"/>
      <c r="R207" s="23"/>
      <c r="S207" s="57"/>
      <c r="T207" s="53">
        <v>20</v>
      </c>
      <c r="U207" s="25"/>
      <c r="V207" s="63">
        <v>11.511111111111109</v>
      </c>
      <c r="W207" s="63">
        <v>10.47511111111111</v>
      </c>
      <c r="X207" s="63">
        <v>9.5323511111111099</v>
      </c>
      <c r="Y207" s="63">
        <v>9.4391111111111083</v>
      </c>
      <c r="Z207" s="514">
        <f>JRC_Data!$BL$18/1000*($U$290/$U$285)</f>
        <v>0.17266666666666663</v>
      </c>
      <c r="AA207" s="66"/>
      <c r="AB207" s="44"/>
      <c r="AC207" s="72"/>
      <c r="AD207" s="72"/>
      <c r="AE207" s="72"/>
      <c r="AF207" s="72"/>
      <c r="AG207" s="66"/>
      <c r="AH207" s="63">
        <v>0.94608000000000003</v>
      </c>
      <c r="AI207" s="66"/>
      <c r="AJ207" s="66">
        <v>2019</v>
      </c>
      <c r="AK207" s="520">
        <v>30</v>
      </c>
      <c r="AL207" s="4"/>
      <c r="AM207" s="100"/>
      <c r="AN207" s="205" t="str">
        <f t="shared" ref="AN207:AO207" si="173">C203</f>
        <v>R-SH_Det_ELC_HPN2-ABC</v>
      </c>
      <c r="AO207" s="205" t="str">
        <f t="shared" si="173"/>
        <v>Residential Electric Heat Pump AB - Air to Water - SH - C rated dwelling</v>
      </c>
      <c r="AP207" s="100" t="s">
        <v>13</v>
      </c>
      <c r="AQ207" s="116" t="s">
        <v>119</v>
      </c>
      <c r="AR207" s="100" t="s">
        <v>684</v>
      </c>
      <c r="AS207" s="4"/>
      <c r="AT207" s="100" t="s">
        <v>75</v>
      </c>
    </row>
    <row r="208" spans="3:46" ht="15.75" thickBot="1" x14ac:dyDescent="0.3">
      <c r="C208" s="521" t="str">
        <f>"R-SH_Det"&amp;"_"&amp;RIGHT(E208,3)&amp;"_HPN2-C"</f>
        <v>R-SH_Det_ELC_HPN2-C</v>
      </c>
      <c r="D208" s="29" t="s">
        <v>608</v>
      </c>
      <c r="E208" s="30" t="s">
        <v>144</v>
      </c>
      <c r="F208" s="30" t="s">
        <v>539</v>
      </c>
      <c r="G208" s="58" t="s">
        <v>648</v>
      </c>
      <c r="H208" s="40">
        <f>$H$202*AM320</f>
        <v>0.85285285285285284</v>
      </c>
      <c r="I208" s="29">
        <f>$I$202*AM320</f>
        <v>0.93813813813813796</v>
      </c>
      <c r="J208" s="29">
        <f>$J$202*AM320</f>
        <v>1.0518518518518518</v>
      </c>
      <c r="K208" s="58">
        <f>$K$202*AM320</f>
        <v>1.137137137137137</v>
      </c>
      <c r="L208" s="42"/>
      <c r="M208" s="31"/>
      <c r="N208" s="31"/>
      <c r="O208" s="43"/>
      <c r="P208" s="40"/>
      <c r="Q208" s="29"/>
      <c r="R208" s="29"/>
      <c r="S208" s="58"/>
      <c r="T208" s="54">
        <v>20</v>
      </c>
      <c r="U208" s="41"/>
      <c r="V208" s="62">
        <f>V26/$V$20*$V$202</f>
        <v>12.136202146976089</v>
      </c>
      <c r="W208" s="62">
        <f t="shared" ref="V208:Y212" si="174">W26/$V$20*$V$202</f>
        <v>12.136202146976089</v>
      </c>
      <c r="X208" s="62">
        <f t="shared" si="174"/>
        <v>10.985091035864977</v>
      </c>
      <c r="Y208" s="62">
        <f t="shared" si="174"/>
        <v>10.985091035864977</v>
      </c>
      <c r="Z208" s="514">
        <f>JRC_Data!$BL$18/1000*($U$290/$U$285)</f>
        <v>0.17266666666666663</v>
      </c>
      <c r="AA208" s="65"/>
      <c r="AB208" s="42"/>
      <c r="AC208" s="71"/>
      <c r="AD208" s="71"/>
      <c r="AE208" s="71"/>
      <c r="AF208" s="71"/>
      <c r="AG208" s="209"/>
      <c r="AH208" s="62">
        <f t="shared" si="149"/>
        <v>0.94608000000000003</v>
      </c>
      <c r="AI208" s="65"/>
      <c r="AJ208" s="24">
        <f>IF($A$2="No",2100,2019)</f>
        <v>2100</v>
      </c>
      <c r="AK208" s="522">
        <v>30</v>
      </c>
      <c r="AL208" s="4"/>
      <c r="AM208" s="100"/>
      <c r="AN208" s="205" t="str">
        <f t="shared" ref="AN208:AO208" si="175">C204</f>
        <v>R-SH_Det_ELC_HPN2-ABD</v>
      </c>
      <c r="AO208" s="205" t="str">
        <f t="shared" si="175"/>
        <v>Residential Electric Heat Pump AB - Air to Water - SH - D rated dwelling</v>
      </c>
      <c r="AP208" s="100" t="s">
        <v>13</v>
      </c>
      <c r="AQ208" s="116" t="s">
        <v>119</v>
      </c>
      <c r="AR208" s="100" t="s">
        <v>684</v>
      </c>
      <c r="AS208" s="4"/>
      <c r="AT208" s="100" t="s">
        <v>75</v>
      </c>
    </row>
    <row r="209" spans="3:46" ht="15.75" thickBot="1" x14ac:dyDescent="0.3">
      <c r="C209" s="519" t="str">
        <f>"R-SH_Det"&amp;"_"&amp;RIGHT(E209,3)&amp;"_HPN2-D"</f>
        <v>R-SH_Det_ELC_HPN2-D</v>
      </c>
      <c r="D209" s="23" t="s">
        <v>609</v>
      </c>
      <c r="E209" s="24" t="s">
        <v>144</v>
      </c>
      <c r="F209" s="24" t="s">
        <v>539</v>
      </c>
      <c r="G209" s="57" t="s">
        <v>649</v>
      </c>
      <c r="H209" s="22">
        <f>$H$202*AM321</f>
        <v>0.81606606606606602</v>
      </c>
      <c r="I209" s="23">
        <f>$I$202*AM321</f>
        <v>0.89767267267267248</v>
      </c>
      <c r="J209" s="23">
        <f>$J$202*AM321</f>
        <v>1.0064814814814815</v>
      </c>
      <c r="K209" s="57">
        <f>$K$202*AM321</f>
        <v>1.0880880880880879</v>
      </c>
      <c r="L209" s="44"/>
      <c r="M209" s="32"/>
      <c r="N209" s="32"/>
      <c r="O209" s="45"/>
      <c r="P209" s="22"/>
      <c r="Q209" s="23"/>
      <c r="R209" s="23"/>
      <c r="S209" s="57"/>
      <c r="T209" s="53">
        <v>20</v>
      </c>
      <c r="U209" s="25"/>
      <c r="V209" s="63">
        <f t="shared" si="174"/>
        <v>12.761293182841067</v>
      </c>
      <c r="W209" s="63">
        <f t="shared" si="174"/>
        <v>12.761293182841067</v>
      </c>
      <c r="X209" s="63">
        <f t="shared" si="174"/>
        <v>11.610182071729955</v>
      </c>
      <c r="Y209" s="63">
        <f t="shared" si="174"/>
        <v>11.610182071729955</v>
      </c>
      <c r="Z209" s="514">
        <f>JRC_Data!$BL$18/1000*($U$290/$U$285)</f>
        <v>0.17266666666666663</v>
      </c>
      <c r="AA209" s="66"/>
      <c r="AB209" s="44"/>
      <c r="AC209" s="72"/>
      <c r="AD209" s="72"/>
      <c r="AE209" s="72"/>
      <c r="AF209" s="72"/>
      <c r="AG209" s="66"/>
      <c r="AH209" s="63">
        <f t="shared" si="149"/>
        <v>0.94608000000000003</v>
      </c>
      <c r="AI209" s="66"/>
      <c r="AJ209" s="24">
        <f t="shared" ref="AJ209:AJ212" si="176">IF($A$2="No",2100,2019)</f>
        <v>2100</v>
      </c>
      <c r="AK209" s="520">
        <v>30</v>
      </c>
      <c r="AL209" s="4"/>
      <c r="AM209" s="100"/>
      <c r="AN209" s="205" t="str">
        <f t="shared" ref="AN209:AO209" si="177">C205</f>
        <v>R-SH_Det_ELC_HPN2-ABE</v>
      </c>
      <c r="AO209" s="205" t="str">
        <f t="shared" si="177"/>
        <v>Residential Electric Heat Pump AB - Air to Water - SH - E rated dwelling</v>
      </c>
      <c r="AP209" s="100" t="s">
        <v>13</v>
      </c>
      <c r="AQ209" s="116" t="s">
        <v>119</v>
      </c>
      <c r="AR209" s="100" t="s">
        <v>684</v>
      </c>
      <c r="AS209" s="4"/>
      <c r="AT209" s="100" t="s">
        <v>75</v>
      </c>
    </row>
    <row r="210" spans="3:46" ht="15.75" thickBot="1" x14ac:dyDescent="0.3">
      <c r="C210" s="519" t="str">
        <f>"R-SH_Det"&amp;"_"&amp;RIGHT(E210,3)&amp;"_HPN2-E"</f>
        <v>R-SH_Det_ELC_HPN2-E</v>
      </c>
      <c r="D210" s="23" t="s">
        <v>610</v>
      </c>
      <c r="E210" s="24" t="s">
        <v>144</v>
      </c>
      <c r="F210" s="24" t="s">
        <v>539</v>
      </c>
      <c r="G210" s="57" t="s">
        <v>650</v>
      </c>
      <c r="H210" s="22">
        <f>$H$202*AM322</f>
        <v>0.7792792792792792</v>
      </c>
      <c r="I210" s="23">
        <f>$I$202*AM322</f>
        <v>0.857207207207207</v>
      </c>
      <c r="J210" s="23">
        <f>$J$202*AM322</f>
        <v>0.96111111111111103</v>
      </c>
      <c r="K210" s="57">
        <f>$K$202*AM322</f>
        <v>1.0390390390390389</v>
      </c>
      <c r="L210" s="44"/>
      <c r="M210" s="32"/>
      <c r="N210" s="32"/>
      <c r="O210" s="45"/>
      <c r="P210" s="22"/>
      <c r="Q210" s="23"/>
      <c r="R210" s="23"/>
      <c r="S210" s="57"/>
      <c r="T210" s="53">
        <v>20</v>
      </c>
      <c r="U210" s="25"/>
      <c r="V210" s="63">
        <f t="shared" si="174"/>
        <v>13.405326371308016</v>
      </c>
      <c r="W210" s="63">
        <f t="shared" si="174"/>
        <v>13.405326371308016</v>
      </c>
      <c r="X210" s="63">
        <f t="shared" si="174"/>
        <v>12.254215260196904</v>
      </c>
      <c r="Y210" s="63">
        <f t="shared" si="174"/>
        <v>12.254215260196904</v>
      </c>
      <c r="Z210" s="514">
        <f>JRC_Data!$BL$18/1000*($U$290/$U$285)</f>
        <v>0.17266666666666663</v>
      </c>
      <c r="AA210" s="66"/>
      <c r="AB210" s="44"/>
      <c r="AC210" s="72"/>
      <c r="AD210" s="72"/>
      <c r="AE210" s="72"/>
      <c r="AF210" s="72"/>
      <c r="AG210" s="66"/>
      <c r="AH210" s="63">
        <f t="shared" si="149"/>
        <v>0.94608000000000003</v>
      </c>
      <c r="AI210" s="66"/>
      <c r="AJ210" s="24">
        <f t="shared" si="176"/>
        <v>2100</v>
      </c>
      <c r="AK210" s="520">
        <v>30</v>
      </c>
      <c r="AL210" s="4"/>
      <c r="AM210" s="100"/>
      <c r="AN210" s="205" t="str">
        <f t="shared" ref="AN210:AO210" si="178">C206</f>
        <v>R-SH_Det_ELC_HPN2-ABF</v>
      </c>
      <c r="AO210" s="205" t="str">
        <f t="shared" si="178"/>
        <v>Residential Electric Heat Pump AB - Air to Water - SH - F rated dwelling</v>
      </c>
      <c r="AP210" s="100" t="s">
        <v>13</v>
      </c>
      <c r="AQ210" s="116" t="s">
        <v>119</v>
      </c>
      <c r="AR210" s="100" t="s">
        <v>684</v>
      </c>
      <c r="AS210" s="4"/>
      <c r="AT210" s="100" t="s">
        <v>75</v>
      </c>
    </row>
    <row r="211" spans="3:46" ht="15.75" thickBot="1" x14ac:dyDescent="0.3">
      <c r="C211" s="521" t="str">
        <f>"R-SH_Det"&amp;"_"&amp;RIGHT(E211,3)&amp;"_HPN2-F"</f>
        <v>R-SH_Det_ELC_HPN2-F</v>
      </c>
      <c r="D211" s="29" t="s">
        <v>611</v>
      </c>
      <c r="E211" s="30" t="s">
        <v>144</v>
      </c>
      <c r="F211" s="30" t="s">
        <v>539</v>
      </c>
      <c r="G211" s="58" t="s">
        <v>652</v>
      </c>
      <c r="H211" s="40">
        <f>$H$202*AM323</f>
        <v>0.74249249249249238</v>
      </c>
      <c r="I211" s="29">
        <f>$I$202*AM323</f>
        <v>0.81674174174174152</v>
      </c>
      <c r="J211" s="29">
        <f>$J$202*AM323</f>
        <v>0.91574074074074063</v>
      </c>
      <c r="K211" s="58">
        <f>$K$202*AM323</f>
        <v>0.98998998998998977</v>
      </c>
      <c r="L211" s="42"/>
      <c r="M211" s="31"/>
      <c r="N211" s="31"/>
      <c r="O211" s="43"/>
      <c r="P211" s="40"/>
      <c r="Q211" s="29"/>
      <c r="R211" s="29"/>
      <c r="S211" s="58"/>
      <c r="T211" s="54">
        <v>20</v>
      </c>
      <c r="U211" s="41"/>
      <c r="V211" s="62">
        <f t="shared" si="174"/>
        <v>13.603792862165962</v>
      </c>
      <c r="W211" s="62">
        <f t="shared" si="174"/>
        <v>13.603792862165962</v>
      </c>
      <c r="X211" s="62">
        <f t="shared" si="174"/>
        <v>12.45268175105485</v>
      </c>
      <c r="Y211" s="62">
        <f t="shared" si="174"/>
        <v>12.45268175105485</v>
      </c>
      <c r="Z211" s="514">
        <f>JRC_Data!$BL$18/1000*($U$290/$U$285)</f>
        <v>0.17266666666666663</v>
      </c>
      <c r="AA211" s="65"/>
      <c r="AB211" s="42"/>
      <c r="AC211" s="71"/>
      <c r="AD211" s="71"/>
      <c r="AE211" s="71"/>
      <c r="AF211" s="71"/>
      <c r="AG211" s="209"/>
      <c r="AH211" s="62">
        <f t="shared" si="149"/>
        <v>0.94608000000000003</v>
      </c>
      <c r="AI211" s="65"/>
      <c r="AJ211" s="24">
        <f t="shared" si="176"/>
        <v>2100</v>
      </c>
      <c r="AK211" s="522">
        <v>30</v>
      </c>
      <c r="AL211" s="4"/>
      <c r="AM211" s="100"/>
      <c r="AN211" s="205" t="str">
        <f t="shared" ref="AN211:AO211" si="179">C207</f>
        <v>R-SH_Det_ELC_HPN2-ABG</v>
      </c>
      <c r="AO211" s="205" t="str">
        <f t="shared" si="179"/>
        <v>Residential Electric Heat Pump AB - Air to Water - SH - G rated dwelling</v>
      </c>
      <c r="AP211" s="100" t="s">
        <v>13</v>
      </c>
      <c r="AQ211" s="116" t="s">
        <v>119</v>
      </c>
      <c r="AR211" s="100" t="s">
        <v>684</v>
      </c>
      <c r="AS211" s="4"/>
      <c r="AT211" s="100" t="s">
        <v>75</v>
      </c>
    </row>
    <row r="212" spans="3:46" ht="15.75" thickBot="1" x14ac:dyDescent="0.3">
      <c r="C212" s="523" t="str">
        <f>"R-SH_Det"&amp;"_"&amp;RIGHT(E212,3)&amp;"_HPN2-G"</f>
        <v>R-SH_Det_ELC_HPN2-G</v>
      </c>
      <c r="D212" s="526" t="s">
        <v>627</v>
      </c>
      <c r="E212" s="524" t="s">
        <v>144</v>
      </c>
      <c r="F212" s="524" t="s">
        <v>539</v>
      </c>
      <c r="G212" s="527" t="s">
        <v>651</v>
      </c>
      <c r="H212" s="525">
        <f>$H$202*AM324</f>
        <v>0.70570570570570568</v>
      </c>
      <c r="I212" s="526">
        <f>$I$202*AM324</f>
        <v>0.77627627627627616</v>
      </c>
      <c r="J212" s="526">
        <f>$J$202*AM324</f>
        <v>0.87037037037037035</v>
      </c>
      <c r="K212" s="527">
        <f>$K$202*AM324</f>
        <v>0.94094094094094083</v>
      </c>
      <c r="L212" s="578"/>
      <c r="M212" s="542"/>
      <c r="N212" s="542"/>
      <c r="O212" s="579"/>
      <c r="P212" s="525"/>
      <c r="Q212" s="526"/>
      <c r="R212" s="526"/>
      <c r="S212" s="527"/>
      <c r="T212" s="580">
        <v>20</v>
      </c>
      <c r="U212" s="581"/>
      <c r="V212" s="528">
        <f t="shared" si="174"/>
        <v>13.80225935302391</v>
      </c>
      <c r="W212" s="528">
        <f t="shared" si="174"/>
        <v>13.80225935302391</v>
      </c>
      <c r="X212" s="528">
        <f t="shared" si="174"/>
        <v>12.651148241912798</v>
      </c>
      <c r="Y212" s="528">
        <f t="shared" si="174"/>
        <v>12.651148241912798</v>
      </c>
      <c r="Z212" s="514">
        <f>JRC_Data!$BL$18/1000*($U$290/$U$285)</f>
        <v>0.17266666666666663</v>
      </c>
      <c r="AA212" s="529"/>
      <c r="AB212" s="578"/>
      <c r="AC212" s="530"/>
      <c r="AD212" s="530"/>
      <c r="AE212" s="530"/>
      <c r="AF212" s="530"/>
      <c r="AG212" s="529"/>
      <c r="AH212" s="528">
        <f t="shared" si="149"/>
        <v>0.94608000000000003</v>
      </c>
      <c r="AI212" s="529"/>
      <c r="AJ212" s="24">
        <f t="shared" si="176"/>
        <v>2100</v>
      </c>
      <c r="AK212" s="531">
        <v>30</v>
      </c>
      <c r="AL212" s="4"/>
      <c r="AM212" s="100"/>
      <c r="AN212" s="205" t="str">
        <f t="shared" ref="AN212:AO217" si="180">C208</f>
        <v>R-SH_Det_ELC_HPN2-C</v>
      </c>
      <c r="AO212" s="205" t="str">
        <f t="shared" si="180"/>
        <v>Residential Electric Heat Pump - Air to Water - SH - C rated dwelling</v>
      </c>
      <c r="AP212" s="100" t="s">
        <v>13</v>
      </c>
      <c r="AQ212" s="116" t="s">
        <v>119</v>
      </c>
      <c r="AR212" s="100" t="s">
        <v>684</v>
      </c>
      <c r="AT212" s="100" t="s">
        <v>75</v>
      </c>
    </row>
    <row r="213" spans="3:46" ht="15.75" thickBot="1" x14ac:dyDescent="0.3">
      <c r="C213" s="510" t="str">
        <f>"R-SW_Det"&amp;"_"&amp;RIGHT(E213,3)&amp;"_HPN1-AB"</f>
        <v>R-SW_Det_ELC_HPN1-AB</v>
      </c>
      <c r="D213" s="513" t="s">
        <v>746</v>
      </c>
      <c r="E213" s="511" t="s">
        <v>144</v>
      </c>
      <c r="F213" s="511" t="s">
        <v>565</v>
      </c>
      <c r="G213" s="514" t="s">
        <v>783</v>
      </c>
      <c r="H213" s="512">
        <v>1</v>
      </c>
      <c r="I213" s="513">
        <v>1.0999999999999999</v>
      </c>
      <c r="J213" s="513">
        <v>1.2333333333333334</v>
      </c>
      <c r="K213" s="514">
        <v>1.3333333333333333</v>
      </c>
      <c r="L213" s="573"/>
      <c r="M213" s="539"/>
      <c r="N213" s="539"/>
      <c r="O213" s="574"/>
      <c r="P213" s="512">
        <f>H213*0.7</f>
        <v>0.7</v>
      </c>
      <c r="Q213" s="513">
        <f t="shared" ref="Q213:S234" si="181">I213*0.7</f>
        <v>0.76999999999999991</v>
      </c>
      <c r="R213" s="513">
        <f t="shared" si="181"/>
        <v>0.86333333333333329</v>
      </c>
      <c r="S213" s="514">
        <f t="shared" si="181"/>
        <v>0.93333333333333324</v>
      </c>
      <c r="T213" s="575">
        <v>20</v>
      </c>
      <c r="U213" s="576"/>
      <c r="V213" s="515">
        <f>V202*($U$291/$U$286)</f>
        <v>13.575339896858882</v>
      </c>
      <c r="W213" s="515">
        <f t="shared" ref="W213:Y213" si="182">W202*($U$291/$U$286)</f>
        <v>12.353559306141582</v>
      </c>
      <c r="X213" s="515">
        <f t="shared" si="182"/>
        <v>11.241738968588839</v>
      </c>
      <c r="Y213" s="515">
        <f t="shared" si="182"/>
        <v>11.13177871542428</v>
      </c>
      <c r="Z213" s="514">
        <f>JRC_Data!$BL$18/1000*($U$291/$U$285)</f>
        <v>0.18633333333333332</v>
      </c>
      <c r="AA213" s="516"/>
      <c r="AB213" s="573"/>
      <c r="AC213" s="517"/>
      <c r="AD213" s="517"/>
      <c r="AE213" s="517"/>
      <c r="AF213" s="517"/>
      <c r="AG213" s="577"/>
      <c r="AH213" s="515">
        <f t="shared" si="149"/>
        <v>1.1983680000000001</v>
      </c>
      <c r="AI213" s="516"/>
      <c r="AJ213" s="516">
        <v>2019</v>
      </c>
      <c r="AK213" s="518">
        <v>38</v>
      </c>
      <c r="AL213" s="4"/>
      <c r="AM213" s="100"/>
      <c r="AN213" s="205" t="str">
        <f t="shared" si="180"/>
        <v>R-SH_Det_ELC_HPN2-D</v>
      </c>
      <c r="AO213" s="205" t="str">
        <f t="shared" si="180"/>
        <v>Residential Electric Heat Pump - Air to Water - SH - D rated dwelling</v>
      </c>
      <c r="AP213" s="100" t="s">
        <v>13</v>
      </c>
      <c r="AQ213" s="116" t="s">
        <v>119</v>
      </c>
      <c r="AR213" s="100" t="s">
        <v>684</v>
      </c>
      <c r="AT213" s="100" t="s">
        <v>75</v>
      </c>
    </row>
    <row r="214" spans="3:46" ht="15.75" thickBot="1" x14ac:dyDescent="0.3">
      <c r="C214" s="519" t="str">
        <f>"R-SW_Det"&amp;"_"&amp;RIGHT(E214,3)&amp;"_HPN1-ABC"</f>
        <v>R-SW_Det_ELC_HPN1-ABC</v>
      </c>
      <c r="D214" s="23" t="s">
        <v>746</v>
      </c>
      <c r="E214" s="24" t="s">
        <v>144</v>
      </c>
      <c r="F214" s="24" t="s">
        <v>565</v>
      </c>
      <c r="G214" s="57" t="s">
        <v>732</v>
      </c>
      <c r="H214" s="22">
        <v>1</v>
      </c>
      <c r="I214" s="23">
        <v>1.0999999999999999</v>
      </c>
      <c r="J214" s="23">
        <v>1.2333333333333334</v>
      </c>
      <c r="K214" s="57">
        <v>1.3333333333333333</v>
      </c>
      <c r="L214" s="44"/>
      <c r="M214" s="32"/>
      <c r="N214" s="32"/>
      <c r="O214" s="45"/>
      <c r="P214" s="22">
        <v>0.7</v>
      </c>
      <c r="Q214" s="23">
        <v>0.76999999999999991</v>
      </c>
      <c r="R214" s="23">
        <v>0.86333333333333329</v>
      </c>
      <c r="S214" s="57">
        <v>0.93333333333333324</v>
      </c>
      <c r="T214" s="53">
        <v>20</v>
      </c>
      <c r="U214" s="25"/>
      <c r="V214" s="63">
        <v>13.575339896858882</v>
      </c>
      <c r="W214" s="63">
        <v>12.353559306141582</v>
      </c>
      <c r="X214" s="63">
        <v>11.241738968588839</v>
      </c>
      <c r="Y214" s="63">
        <v>11.13177871542428</v>
      </c>
      <c r="Z214" s="514">
        <f>JRC_Data!$BL$18/1000*($U$291/$U$285)</f>
        <v>0.18633333333333332</v>
      </c>
      <c r="AA214" s="66"/>
      <c r="AB214" s="44"/>
      <c r="AC214" s="72"/>
      <c r="AD214" s="72"/>
      <c r="AE214" s="72"/>
      <c r="AF214" s="72"/>
      <c r="AG214" s="66"/>
      <c r="AH214" s="63">
        <v>1.1983680000000001</v>
      </c>
      <c r="AI214" s="66"/>
      <c r="AJ214" s="66">
        <v>2019</v>
      </c>
      <c r="AK214" s="520">
        <v>38</v>
      </c>
      <c r="AL214" s="4"/>
      <c r="AM214" s="100"/>
      <c r="AN214" s="205" t="str">
        <f t="shared" si="180"/>
        <v>R-SH_Det_ELC_HPN2-E</v>
      </c>
      <c r="AO214" s="205" t="str">
        <f t="shared" si="180"/>
        <v>Residential Electric Heat Pump - Air to Water - SH - E rated dwelling</v>
      </c>
      <c r="AP214" s="100" t="s">
        <v>13</v>
      </c>
      <c r="AQ214" s="116" t="s">
        <v>119</v>
      </c>
      <c r="AR214" s="100" t="s">
        <v>684</v>
      </c>
      <c r="AT214" s="100" t="s">
        <v>75</v>
      </c>
    </row>
    <row r="215" spans="3:46" ht="15.75" thickBot="1" x14ac:dyDescent="0.3">
      <c r="C215" s="521" t="str">
        <f>"R-SW_Det"&amp;"_"&amp;RIGHT(E215,3)&amp;"_HPN1-ABD"</f>
        <v>R-SW_Det_ELC_HPN1-ABD</v>
      </c>
      <c r="D215" s="29" t="s">
        <v>746</v>
      </c>
      <c r="E215" s="30" t="s">
        <v>144</v>
      </c>
      <c r="F215" s="30" t="s">
        <v>565</v>
      </c>
      <c r="G215" s="58" t="s">
        <v>733</v>
      </c>
      <c r="H215" s="40">
        <v>1</v>
      </c>
      <c r="I215" s="29">
        <v>1.0999999999999999</v>
      </c>
      <c r="J215" s="29">
        <v>1.2333333333333334</v>
      </c>
      <c r="K215" s="58">
        <v>1.3333333333333333</v>
      </c>
      <c r="L215" s="42"/>
      <c r="M215" s="31"/>
      <c r="N215" s="31"/>
      <c r="O215" s="43"/>
      <c r="P215" s="40">
        <v>0.7</v>
      </c>
      <c r="Q215" s="29">
        <v>0.76999999999999991</v>
      </c>
      <c r="R215" s="29">
        <v>0.86333333333333329</v>
      </c>
      <c r="S215" s="58">
        <v>0.93333333333333324</v>
      </c>
      <c r="T215" s="54">
        <v>20</v>
      </c>
      <c r="U215" s="41"/>
      <c r="V215" s="62">
        <v>13.575339896858882</v>
      </c>
      <c r="W215" s="62">
        <v>12.353559306141582</v>
      </c>
      <c r="X215" s="62">
        <v>11.241738968588839</v>
      </c>
      <c r="Y215" s="62">
        <v>11.13177871542428</v>
      </c>
      <c r="Z215" s="514">
        <f>JRC_Data!$BL$18/1000*($U$291/$U$285)</f>
        <v>0.18633333333333332</v>
      </c>
      <c r="AA215" s="65"/>
      <c r="AB215" s="42"/>
      <c r="AC215" s="71"/>
      <c r="AD215" s="71"/>
      <c r="AE215" s="71"/>
      <c r="AF215" s="71"/>
      <c r="AG215" s="209"/>
      <c r="AH215" s="62">
        <v>1.1983680000000001</v>
      </c>
      <c r="AI215" s="65"/>
      <c r="AJ215" s="65">
        <v>2019</v>
      </c>
      <c r="AK215" s="522">
        <v>38</v>
      </c>
      <c r="AL215" s="4"/>
      <c r="AM215" s="100"/>
      <c r="AN215" s="205" t="str">
        <f t="shared" si="180"/>
        <v>R-SH_Det_ELC_HPN2-F</v>
      </c>
      <c r="AO215" s="205" t="str">
        <f t="shared" si="180"/>
        <v>Residential Electric Heat Pump - Air to Water - SH - F rated dwelling</v>
      </c>
      <c r="AP215" s="100" t="s">
        <v>13</v>
      </c>
      <c r="AQ215" s="116" t="s">
        <v>119</v>
      </c>
      <c r="AR215" s="100" t="s">
        <v>684</v>
      </c>
      <c r="AT215" s="100" t="s">
        <v>75</v>
      </c>
    </row>
    <row r="216" spans="3:46" ht="15.75" thickBot="1" x14ac:dyDescent="0.3">
      <c r="C216" s="519" t="str">
        <f>"R-SW_Det"&amp;"_"&amp;RIGHT(E216,3)&amp;"_HPN1-ABE"</f>
        <v>R-SW_Det_ELC_HPN1-ABE</v>
      </c>
      <c r="D216" s="23" t="s">
        <v>746</v>
      </c>
      <c r="E216" s="24" t="s">
        <v>144</v>
      </c>
      <c r="F216" s="24" t="s">
        <v>565</v>
      </c>
      <c r="G216" s="57" t="s">
        <v>734</v>
      </c>
      <c r="H216" s="22">
        <v>1</v>
      </c>
      <c r="I216" s="23">
        <v>1.0999999999999999</v>
      </c>
      <c r="J216" s="23">
        <v>1.2333333333333334</v>
      </c>
      <c r="K216" s="57">
        <v>1.3333333333333333</v>
      </c>
      <c r="L216" s="44"/>
      <c r="M216" s="32"/>
      <c r="N216" s="32"/>
      <c r="O216" s="45"/>
      <c r="P216" s="22">
        <v>0.7</v>
      </c>
      <c r="Q216" s="23">
        <v>0.76999999999999991</v>
      </c>
      <c r="R216" s="23">
        <v>0.86333333333333329</v>
      </c>
      <c r="S216" s="57">
        <v>0.93333333333333324</v>
      </c>
      <c r="T216" s="53">
        <v>20</v>
      </c>
      <c r="U216" s="25"/>
      <c r="V216" s="63">
        <v>13.575339896858882</v>
      </c>
      <c r="W216" s="63">
        <v>12.353559306141582</v>
      </c>
      <c r="X216" s="63">
        <v>11.241738968588839</v>
      </c>
      <c r="Y216" s="63">
        <v>11.13177871542428</v>
      </c>
      <c r="Z216" s="514">
        <f>JRC_Data!$BL$18/1000*($U$291/$U$285)</f>
        <v>0.18633333333333332</v>
      </c>
      <c r="AA216" s="66"/>
      <c r="AB216" s="44"/>
      <c r="AC216" s="72"/>
      <c r="AD216" s="72"/>
      <c r="AE216" s="72"/>
      <c r="AF216" s="72"/>
      <c r="AG216" s="66"/>
      <c r="AH216" s="63">
        <v>1.1983680000000001</v>
      </c>
      <c r="AI216" s="66"/>
      <c r="AJ216" s="66">
        <v>2019</v>
      </c>
      <c r="AK216" s="520">
        <v>38</v>
      </c>
      <c r="AL216" s="4"/>
      <c r="AM216" s="100"/>
      <c r="AN216" s="205" t="str">
        <f t="shared" si="180"/>
        <v>R-SH_Det_ELC_HPN2-G</v>
      </c>
      <c r="AO216" s="205" t="str">
        <f t="shared" si="180"/>
        <v>Residential Electric Heat Pump - Air to Water - SH - G rated dwelling</v>
      </c>
      <c r="AP216" s="100" t="s">
        <v>13</v>
      </c>
      <c r="AQ216" s="116" t="s">
        <v>119</v>
      </c>
      <c r="AR216" s="100" t="s">
        <v>684</v>
      </c>
      <c r="AT216" s="100" t="s">
        <v>75</v>
      </c>
    </row>
    <row r="217" spans="3:46" ht="15.75" thickBot="1" x14ac:dyDescent="0.3">
      <c r="C217" s="521" t="str">
        <f>"R-SW_Det"&amp;"_"&amp;RIGHT(E217,3)&amp;"_HPN1-ABF"</f>
        <v>R-SW_Det_ELC_HPN1-ABF</v>
      </c>
      <c r="D217" s="29" t="s">
        <v>746</v>
      </c>
      <c r="E217" s="30" t="s">
        <v>144</v>
      </c>
      <c r="F217" s="30" t="s">
        <v>565</v>
      </c>
      <c r="G217" s="58" t="s">
        <v>735</v>
      </c>
      <c r="H217" s="40">
        <v>1</v>
      </c>
      <c r="I217" s="29">
        <v>1.0999999999999999</v>
      </c>
      <c r="J217" s="29">
        <v>1.2333333333333334</v>
      </c>
      <c r="K217" s="58">
        <v>1.3333333333333333</v>
      </c>
      <c r="L217" s="42"/>
      <c r="M217" s="31"/>
      <c r="N217" s="31"/>
      <c r="O217" s="43"/>
      <c r="P217" s="40">
        <v>0.7</v>
      </c>
      <c r="Q217" s="29">
        <v>0.76999999999999991</v>
      </c>
      <c r="R217" s="29">
        <v>0.86333333333333329</v>
      </c>
      <c r="S217" s="58">
        <v>0.93333333333333324</v>
      </c>
      <c r="T217" s="54">
        <v>20</v>
      </c>
      <c r="U217" s="41"/>
      <c r="V217" s="62">
        <v>13.575339896858882</v>
      </c>
      <c r="W217" s="62">
        <v>12.353559306141582</v>
      </c>
      <c r="X217" s="62">
        <v>11.241738968588839</v>
      </c>
      <c r="Y217" s="62">
        <v>11.13177871542428</v>
      </c>
      <c r="Z217" s="514">
        <f>JRC_Data!$BL$18/1000*($U$291/$U$285)</f>
        <v>0.18633333333333332</v>
      </c>
      <c r="AA217" s="65"/>
      <c r="AB217" s="42"/>
      <c r="AC217" s="71"/>
      <c r="AD217" s="71"/>
      <c r="AE217" s="71"/>
      <c r="AF217" s="71"/>
      <c r="AG217" s="209"/>
      <c r="AH217" s="62">
        <v>1.1983680000000001</v>
      </c>
      <c r="AI217" s="65"/>
      <c r="AJ217" s="65">
        <v>2019</v>
      </c>
      <c r="AK217" s="522">
        <v>38</v>
      </c>
      <c r="AL217" s="4"/>
      <c r="AM217" s="100"/>
      <c r="AN217" s="205" t="str">
        <f t="shared" si="180"/>
        <v>R-SW_Det_ELC_HPN1-AB</v>
      </c>
      <c r="AO217" s="205" t="str">
        <f t="shared" si="180"/>
        <v>Residential Electric Heat Pump AB - Air to Water - SH + WH - AB rated dwelling</v>
      </c>
      <c r="AP217" s="100" t="s">
        <v>13</v>
      </c>
      <c r="AQ217" s="116" t="s">
        <v>119</v>
      </c>
      <c r="AR217" s="100" t="s">
        <v>684</v>
      </c>
      <c r="AT217" s="100" t="s">
        <v>75</v>
      </c>
    </row>
    <row r="218" spans="3:46" ht="15.75" thickBot="1" x14ac:dyDescent="0.3">
      <c r="C218" s="519" t="str">
        <f>"R-SW_Det"&amp;"_"&amp;RIGHT(E218,3)&amp;"_HPN1-ABG"</f>
        <v>R-SW_Det_ELC_HPN1-ABG</v>
      </c>
      <c r="D218" s="23" t="s">
        <v>746</v>
      </c>
      <c r="E218" s="24" t="s">
        <v>144</v>
      </c>
      <c r="F218" s="24" t="s">
        <v>565</v>
      </c>
      <c r="G218" s="57" t="s">
        <v>736</v>
      </c>
      <c r="H218" s="22">
        <v>1</v>
      </c>
      <c r="I218" s="23">
        <v>1.0999999999999999</v>
      </c>
      <c r="J218" s="23">
        <v>1.2333333333333334</v>
      </c>
      <c r="K218" s="57">
        <v>1.3333333333333333</v>
      </c>
      <c r="L218" s="44"/>
      <c r="M218" s="32"/>
      <c r="N218" s="32"/>
      <c r="O218" s="45"/>
      <c r="P218" s="22">
        <v>0.7</v>
      </c>
      <c r="Q218" s="23">
        <v>0.76999999999999991</v>
      </c>
      <c r="R218" s="23">
        <v>0.86333333333333329</v>
      </c>
      <c r="S218" s="57">
        <v>0.93333333333333324</v>
      </c>
      <c r="T218" s="53">
        <v>20</v>
      </c>
      <c r="U218" s="25"/>
      <c r="V218" s="63">
        <v>13.575339896858882</v>
      </c>
      <c r="W218" s="63">
        <v>12.353559306141582</v>
      </c>
      <c r="X218" s="63">
        <v>11.241738968588839</v>
      </c>
      <c r="Y218" s="63">
        <v>11.13177871542428</v>
      </c>
      <c r="Z218" s="514">
        <f>JRC_Data!$BL$18/1000*($U$291/$U$285)</f>
        <v>0.18633333333333332</v>
      </c>
      <c r="AA218" s="66"/>
      <c r="AB218" s="44"/>
      <c r="AC218" s="72"/>
      <c r="AD218" s="72"/>
      <c r="AE218" s="72"/>
      <c r="AF218" s="72"/>
      <c r="AG218" s="66"/>
      <c r="AH218" s="63">
        <v>1.1983680000000001</v>
      </c>
      <c r="AI218" s="66"/>
      <c r="AJ218" s="66">
        <v>2019</v>
      </c>
      <c r="AK218" s="520">
        <v>38</v>
      </c>
      <c r="AL218" s="4"/>
      <c r="AM218" s="100"/>
      <c r="AN218" s="205" t="str">
        <f t="shared" ref="AN218:AO218" si="183">C214</f>
        <v>R-SW_Det_ELC_HPN1-ABC</v>
      </c>
      <c r="AO218" s="205" t="str">
        <f t="shared" si="183"/>
        <v>Residential Electric Heat Pump AB - Air to Water - SH + WH - AB rated dwelling</v>
      </c>
      <c r="AP218" s="100" t="s">
        <v>13</v>
      </c>
      <c r="AQ218" s="116" t="s">
        <v>119</v>
      </c>
      <c r="AR218" s="100" t="s">
        <v>684</v>
      </c>
      <c r="AS218" s="4"/>
      <c r="AT218" s="100" t="s">
        <v>75</v>
      </c>
    </row>
    <row r="219" spans="3:46" ht="15.75" thickBot="1" x14ac:dyDescent="0.3">
      <c r="C219" s="521" t="str">
        <f>"R-SW_Det"&amp;"_"&amp;RIGHT(E219,3)&amp;"_HPN1-C"</f>
        <v>R-SW_Det_ELC_HPN1-C</v>
      </c>
      <c r="D219" s="29" t="s">
        <v>615</v>
      </c>
      <c r="E219" s="30" t="s">
        <v>144</v>
      </c>
      <c r="F219" s="30" t="s">
        <v>565</v>
      </c>
      <c r="G219" s="58" t="s">
        <v>732</v>
      </c>
      <c r="H219" s="40">
        <f t="shared" ref="H219:K223" si="184">H208</f>
        <v>0.85285285285285284</v>
      </c>
      <c r="I219" s="29">
        <f t="shared" si="184"/>
        <v>0.93813813813813796</v>
      </c>
      <c r="J219" s="29">
        <f t="shared" si="184"/>
        <v>1.0518518518518518</v>
      </c>
      <c r="K219" s="58">
        <f t="shared" si="184"/>
        <v>1.137137137137137</v>
      </c>
      <c r="L219" s="42"/>
      <c r="M219" s="31"/>
      <c r="N219" s="31"/>
      <c r="O219" s="43"/>
      <c r="P219" s="40">
        <f t="shared" ref="P219:P223" si="185">H219*0.7</f>
        <v>0.59699699699699693</v>
      </c>
      <c r="Q219" s="29">
        <f t="shared" si="181"/>
        <v>0.6566966966966965</v>
      </c>
      <c r="R219" s="29">
        <f t="shared" si="181"/>
        <v>0.73629629629629623</v>
      </c>
      <c r="S219" s="58">
        <f t="shared" si="181"/>
        <v>0.79599599599599591</v>
      </c>
      <c r="T219" s="54">
        <v>20</v>
      </c>
      <c r="U219" s="41"/>
      <c r="V219" s="62">
        <f t="shared" ref="V219:Y223" si="186">V26/$V$20*$V$213</f>
        <v>14.312525316792478</v>
      </c>
      <c r="W219" s="62">
        <f t="shared" si="186"/>
        <v>14.312525316792478</v>
      </c>
      <c r="X219" s="62">
        <f t="shared" si="186"/>
        <v>12.954991327106587</v>
      </c>
      <c r="Y219" s="62">
        <f t="shared" si="186"/>
        <v>12.954991327106587</v>
      </c>
      <c r="Z219" s="514">
        <f>JRC_Data!$BL$18/1000*($U$291/$U$285)</f>
        <v>0.18633333333333332</v>
      </c>
      <c r="AA219" s="65"/>
      <c r="AB219" s="42"/>
      <c r="AC219" s="71"/>
      <c r="AD219" s="71"/>
      <c r="AE219" s="71"/>
      <c r="AF219" s="71"/>
      <c r="AG219" s="209"/>
      <c r="AH219" s="62">
        <f t="shared" si="149"/>
        <v>1.1983680000000001</v>
      </c>
      <c r="AI219" s="65"/>
      <c r="AJ219" s="24">
        <f>IF($A$2="No",2100,2019)</f>
        <v>2100</v>
      </c>
      <c r="AK219" s="522">
        <v>38</v>
      </c>
      <c r="AL219" s="4"/>
      <c r="AM219" s="100"/>
      <c r="AN219" s="205" t="str">
        <f t="shared" ref="AN219:AO219" si="187">C215</f>
        <v>R-SW_Det_ELC_HPN1-ABD</v>
      </c>
      <c r="AO219" s="205" t="str">
        <f t="shared" si="187"/>
        <v>Residential Electric Heat Pump AB - Air to Water - SH + WH - AB rated dwelling</v>
      </c>
      <c r="AP219" s="100" t="s">
        <v>13</v>
      </c>
      <c r="AQ219" s="116" t="s">
        <v>119</v>
      </c>
      <c r="AR219" s="100" t="s">
        <v>684</v>
      </c>
      <c r="AS219" s="4"/>
      <c r="AT219" s="100" t="s">
        <v>75</v>
      </c>
    </row>
    <row r="220" spans="3:46" ht="15.75" thickBot="1" x14ac:dyDescent="0.3">
      <c r="C220" s="519" t="str">
        <f>"R-SW_Det"&amp;"_"&amp;RIGHT(E220,3)&amp;"_HPN1-D"</f>
        <v>R-SW_Det_ELC_HPN1-D</v>
      </c>
      <c r="D220" s="23" t="s">
        <v>616</v>
      </c>
      <c r="E220" s="24" t="s">
        <v>144</v>
      </c>
      <c r="F220" s="24" t="s">
        <v>565</v>
      </c>
      <c r="G220" s="57" t="s">
        <v>733</v>
      </c>
      <c r="H220" s="22">
        <f t="shared" si="184"/>
        <v>0.81606606606606602</v>
      </c>
      <c r="I220" s="23">
        <f t="shared" si="184"/>
        <v>0.89767267267267248</v>
      </c>
      <c r="J220" s="23">
        <f t="shared" si="184"/>
        <v>1.0064814814814815</v>
      </c>
      <c r="K220" s="57">
        <f t="shared" si="184"/>
        <v>1.0880880880880879</v>
      </c>
      <c r="L220" s="44"/>
      <c r="M220" s="32"/>
      <c r="N220" s="32"/>
      <c r="O220" s="45"/>
      <c r="P220" s="22">
        <f t="shared" si="185"/>
        <v>0.5712462462462462</v>
      </c>
      <c r="Q220" s="23">
        <f t="shared" si="181"/>
        <v>0.62837087087087073</v>
      </c>
      <c r="R220" s="23">
        <f t="shared" si="181"/>
        <v>0.70453703703703707</v>
      </c>
      <c r="S220" s="57">
        <f t="shared" si="181"/>
        <v>0.76166166166166149</v>
      </c>
      <c r="T220" s="53">
        <v>20</v>
      </c>
      <c r="U220" s="25"/>
      <c r="V220" s="63">
        <f t="shared" si="186"/>
        <v>15.04971073672607</v>
      </c>
      <c r="W220" s="63">
        <f t="shared" si="186"/>
        <v>15.04971073672607</v>
      </c>
      <c r="X220" s="63">
        <f t="shared" si="186"/>
        <v>13.692176747040179</v>
      </c>
      <c r="Y220" s="63">
        <f t="shared" si="186"/>
        <v>13.692176747040179</v>
      </c>
      <c r="Z220" s="514">
        <f>JRC_Data!$BL$18/1000*($U$291/$U$285)</f>
        <v>0.18633333333333332</v>
      </c>
      <c r="AA220" s="66"/>
      <c r="AB220" s="44"/>
      <c r="AC220" s="72"/>
      <c r="AD220" s="72"/>
      <c r="AE220" s="72"/>
      <c r="AF220" s="72"/>
      <c r="AG220" s="66"/>
      <c r="AH220" s="63">
        <f t="shared" si="149"/>
        <v>1.1983680000000001</v>
      </c>
      <c r="AI220" s="66"/>
      <c r="AJ220" s="24">
        <f t="shared" ref="AJ220:AJ223" si="188">IF($A$2="No",2100,2019)</f>
        <v>2100</v>
      </c>
      <c r="AK220" s="520">
        <v>38</v>
      </c>
      <c r="AL220" s="4"/>
      <c r="AM220" s="100"/>
      <c r="AN220" s="205" t="str">
        <f t="shared" ref="AN220:AO220" si="189">C216</f>
        <v>R-SW_Det_ELC_HPN1-ABE</v>
      </c>
      <c r="AO220" s="205" t="str">
        <f t="shared" si="189"/>
        <v>Residential Electric Heat Pump AB - Air to Water - SH + WH - AB rated dwelling</v>
      </c>
      <c r="AP220" s="100" t="s">
        <v>13</v>
      </c>
      <c r="AQ220" s="116" t="s">
        <v>119</v>
      </c>
      <c r="AR220" s="100" t="s">
        <v>684</v>
      </c>
      <c r="AS220" s="4"/>
      <c r="AT220" s="100" t="s">
        <v>75</v>
      </c>
    </row>
    <row r="221" spans="3:46" ht="15.75" thickBot="1" x14ac:dyDescent="0.3">
      <c r="C221" s="521" t="str">
        <f>"R-SW_Det"&amp;"_"&amp;RIGHT(E221,3)&amp;"_HPN1-E"</f>
        <v>R-SW_Det_ELC_HPN1-E</v>
      </c>
      <c r="D221" s="29" t="s">
        <v>617</v>
      </c>
      <c r="E221" s="30" t="s">
        <v>144</v>
      </c>
      <c r="F221" s="30" t="s">
        <v>565</v>
      </c>
      <c r="G221" s="58" t="s">
        <v>734</v>
      </c>
      <c r="H221" s="40">
        <f t="shared" si="184"/>
        <v>0.7792792792792792</v>
      </c>
      <c r="I221" s="29">
        <f t="shared" si="184"/>
        <v>0.857207207207207</v>
      </c>
      <c r="J221" s="29">
        <f t="shared" si="184"/>
        <v>0.96111111111111103</v>
      </c>
      <c r="K221" s="58">
        <f t="shared" si="184"/>
        <v>1.0390390390390389</v>
      </c>
      <c r="L221" s="42"/>
      <c r="M221" s="31"/>
      <c r="N221" s="31"/>
      <c r="O221" s="43"/>
      <c r="P221" s="40">
        <f t="shared" si="185"/>
        <v>0.54549549549549536</v>
      </c>
      <c r="Q221" s="29">
        <f t="shared" si="181"/>
        <v>0.60004504504504486</v>
      </c>
      <c r="R221" s="29">
        <f t="shared" si="181"/>
        <v>0.6727777777777777</v>
      </c>
      <c r="S221" s="58">
        <f t="shared" si="181"/>
        <v>0.72732732732732719</v>
      </c>
      <c r="T221" s="54">
        <v>20</v>
      </c>
      <c r="U221" s="41"/>
      <c r="V221" s="62">
        <f t="shared" si="186"/>
        <v>15.809235108778863</v>
      </c>
      <c r="W221" s="62">
        <f t="shared" si="186"/>
        <v>15.809235108778863</v>
      </c>
      <c r="X221" s="62">
        <f t="shared" si="186"/>
        <v>14.451701119092974</v>
      </c>
      <c r="Y221" s="62">
        <f t="shared" si="186"/>
        <v>14.451701119092974</v>
      </c>
      <c r="Z221" s="514">
        <f>JRC_Data!$BL$18/1000*($U$291/$U$285)</f>
        <v>0.18633333333333332</v>
      </c>
      <c r="AA221" s="65"/>
      <c r="AB221" s="42"/>
      <c r="AC221" s="71"/>
      <c r="AD221" s="71"/>
      <c r="AE221" s="71"/>
      <c r="AF221" s="71"/>
      <c r="AG221" s="209"/>
      <c r="AH221" s="62">
        <f t="shared" si="149"/>
        <v>1.1983680000000001</v>
      </c>
      <c r="AI221" s="65"/>
      <c r="AJ221" s="24">
        <f t="shared" si="188"/>
        <v>2100</v>
      </c>
      <c r="AK221" s="522">
        <v>38</v>
      </c>
      <c r="AL221" s="4"/>
      <c r="AM221" s="100"/>
      <c r="AN221" s="205" t="str">
        <f t="shared" ref="AN221:AO221" si="190">C217</f>
        <v>R-SW_Det_ELC_HPN1-ABF</v>
      </c>
      <c r="AO221" s="205" t="str">
        <f t="shared" si="190"/>
        <v>Residential Electric Heat Pump AB - Air to Water - SH + WH - AB rated dwelling</v>
      </c>
      <c r="AP221" s="100" t="s">
        <v>13</v>
      </c>
      <c r="AQ221" s="116" t="s">
        <v>119</v>
      </c>
      <c r="AR221" s="100" t="s">
        <v>684</v>
      </c>
      <c r="AS221" s="4"/>
      <c r="AT221" s="100" t="s">
        <v>75</v>
      </c>
    </row>
    <row r="222" spans="3:46" ht="15.75" thickBot="1" x14ac:dyDescent="0.3">
      <c r="C222" s="519" t="str">
        <f>"R-SW_Det"&amp;"_"&amp;RIGHT(E222,3)&amp;"_HPN1-F"</f>
        <v>R-SW_Det_ELC_HPN1-F</v>
      </c>
      <c r="D222" s="23" t="s">
        <v>618</v>
      </c>
      <c r="E222" s="24" t="s">
        <v>144</v>
      </c>
      <c r="F222" s="24" t="s">
        <v>565</v>
      </c>
      <c r="G222" s="57" t="s">
        <v>735</v>
      </c>
      <c r="H222" s="22">
        <f t="shared" si="184"/>
        <v>0.74249249249249238</v>
      </c>
      <c r="I222" s="23">
        <f t="shared" si="184"/>
        <v>0.81674174174174152</v>
      </c>
      <c r="J222" s="23">
        <f t="shared" si="184"/>
        <v>0.91574074074074063</v>
      </c>
      <c r="K222" s="57">
        <f t="shared" si="184"/>
        <v>0.98998998998998977</v>
      </c>
      <c r="L222" s="44"/>
      <c r="M222" s="32"/>
      <c r="N222" s="32"/>
      <c r="O222" s="45"/>
      <c r="P222" s="22">
        <f t="shared" si="185"/>
        <v>0.51974474474474464</v>
      </c>
      <c r="Q222" s="23">
        <f t="shared" si="181"/>
        <v>0.57171921921921898</v>
      </c>
      <c r="R222" s="23">
        <f t="shared" si="181"/>
        <v>0.64101851851851843</v>
      </c>
      <c r="S222" s="57">
        <f t="shared" si="181"/>
        <v>0.69299299299299277</v>
      </c>
      <c r="T222" s="53">
        <v>20</v>
      </c>
      <c r="U222" s="25"/>
      <c r="V222" s="63">
        <f t="shared" si="186"/>
        <v>16.043291582174625</v>
      </c>
      <c r="W222" s="63">
        <f t="shared" si="186"/>
        <v>16.043291582174625</v>
      </c>
      <c r="X222" s="63">
        <f t="shared" si="186"/>
        <v>14.685757592488738</v>
      </c>
      <c r="Y222" s="63">
        <f t="shared" si="186"/>
        <v>14.685757592488738</v>
      </c>
      <c r="Z222" s="514">
        <f>JRC_Data!$BL$18/1000*($U$291/$U$285)</f>
        <v>0.18633333333333332</v>
      </c>
      <c r="AA222" s="66"/>
      <c r="AB222" s="44"/>
      <c r="AC222" s="72"/>
      <c r="AD222" s="72"/>
      <c r="AE222" s="72"/>
      <c r="AF222" s="72"/>
      <c r="AG222" s="66"/>
      <c r="AH222" s="63">
        <f t="shared" si="149"/>
        <v>1.1983680000000001</v>
      </c>
      <c r="AI222" s="66"/>
      <c r="AJ222" s="24">
        <f t="shared" si="188"/>
        <v>2100</v>
      </c>
      <c r="AK222" s="520">
        <v>38</v>
      </c>
      <c r="AL222" s="4"/>
      <c r="AM222" s="100"/>
      <c r="AN222" s="205" t="str">
        <f t="shared" ref="AN222:AO222" si="191">C218</f>
        <v>R-SW_Det_ELC_HPN1-ABG</v>
      </c>
      <c r="AO222" s="205" t="str">
        <f t="shared" si="191"/>
        <v>Residential Electric Heat Pump AB - Air to Water - SH + WH - AB rated dwelling</v>
      </c>
      <c r="AP222" s="100" t="s">
        <v>13</v>
      </c>
      <c r="AQ222" s="116" t="s">
        <v>119</v>
      </c>
      <c r="AR222" s="100" t="s">
        <v>684</v>
      </c>
      <c r="AS222" s="4"/>
      <c r="AT222" s="100" t="s">
        <v>75</v>
      </c>
    </row>
    <row r="223" spans="3:46" ht="15.75" thickBot="1" x14ac:dyDescent="0.3">
      <c r="C223" s="546" t="str">
        <f>"R-SW_Det"&amp;"_"&amp;RIGHT(E223,3)&amp;"_HPN1-G"</f>
        <v>R-SW_Det_ELC_HPN1-G</v>
      </c>
      <c r="D223" s="548" t="s">
        <v>629</v>
      </c>
      <c r="E223" s="547" t="s">
        <v>144</v>
      </c>
      <c r="F223" s="547" t="s">
        <v>565</v>
      </c>
      <c r="G223" s="582" t="s">
        <v>736</v>
      </c>
      <c r="H223" s="583">
        <f t="shared" si="184"/>
        <v>0.70570570570570568</v>
      </c>
      <c r="I223" s="548">
        <f t="shared" si="184"/>
        <v>0.77627627627627616</v>
      </c>
      <c r="J223" s="548">
        <f t="shared" si="184"/>
        <v>0.87037037037037035</v>
      </c>
      <c r="K223" s="582">
        <f t="shared" si="184"/>
        <v>0.94094094094094083</v>
      </c>
      <c r="L223" s="584"/>
      <c r="M223" s="550"/>
      <c r="N223" s="550"/>
      <c r="O223" s="585"/>
      <c r="P223" s="583">
        <f t="shared" si="185"/>
        <v>0.49399399399399396</v>
      </c>
      <c r="Q223" s="548">
        <f t="shared" si="181"/>
        <v>0.54339339339339332</v>
      </c>
      <c r="R223" s="548">
        <f t="shared" si="181"/>
        <v>0.60925925925925917</v>
      </c>
      <c r="S223" s="582">
        <f t="shared" si="181"/>
        <v>0.65865865865865858</v>
      </c>
      <c r="T223" s="586">
        <v>20</v>
      </c>
      <c r="U223" s="587"/>
      <c r="V223" s="588">
        <f t="shared" si="186"/>
        <v>16.277348055570393</v>
      </c>
      <c r="W223" s="588">
        <f t="shared" si="186"/>
        <v>16.277348055570393</v>
      </c>
      <c r="X223" s="588">
        <f t="shared" si="186"/>
        <v>14.919814065884502</v>
      </c>
      <c r="Y223" s="588">
        <f t="shared" si="186"/>
        <v>14.919814065884502</v>
      </c>
      <c r="Z223" s="514">
        <f>JRC_Data!$BL$18/1000*($U$291/$U$285)</f>
        <v>0.18633333333333332</v>
      </c>
      <c r="AA223" s="589"/>
      <c r="AB223" s="584"/>
      <c r="AC223" s="590"/>
      <c r="AD223" s="590"/>
      <c r="AE223" s="590"/>
      <c r="AF223" s="590"/>
      <c r="AG223" s="591"/>
      <c r="AH223" s="588">
        <f t="shared" si="149"/>
        <v>1.1983680000000001</v>
      </c>
      <c r="AI223" s="589"/>
      <c r="AJ223" s="24">
        <f t="shared" si="188"/>
        <v>2100</v>
      </c>
      <c r="AK223" s="592">
        <v>38</v>
      </c>
      <c r="AL223" s="4"/>
      <c r="AM223" s="100"/>
      <c r="AN223" s="205" t="str">
        <f t="shared" ref="AN223:AO228" si="192">C219</f>
        <v>R-SW_Det_ELC_HPN1-C</v>
      </c>
      <c r="AO223" s="205" t="str">
        <f t="shared" si="192"/>
        <v>Residential Electric Heat Pump - Air to Water - SH + WH - C rated dwelling</v>
      </c>
      <c r="AP223" s="100" t="s">
        <v>13</v>
      </c>
      <c r="AQ223" s="116" t="s">
        <v>119</v>
      </c>
      <c r="AR223" s="100" t="s">
        <v>684</v>
      </c>
      <c r="AT223" s="100" t="s">
        <v>75</v>
      </c>
    </row>
    <row r="224" spans="3:46" ht="15.75" thickBot="1" x14ac:dyDescent="0.3">
      <c r="C224" s="554" t="str">
        <f>"R-SW_Det"&amp;"_"&amp;RIGHT(E224,3)&amp;"_HPN2-AB"</f>
        <v>R-SW_Det_ELC_HPN2-AB</v>
      </c>
      <c r="D224" s="556" t="s">
        <v>767</v>
      </c>
      <c r="E224" s="555" t="s">
        <v>531</v>
      </c>
      <c r="F224" s="555" t="s">
        <v>565</v>
      </c>
      <c r="G224" s="593" t="s">
        <v>783</v>
      </c>
      <c r="H224" s="594">
        <v>1</v>
      </c>
      <c r="I224" s="556">
        <v>1.1100000000000001</v>
      </c>
      <c r="J224" s="556">
        <v>1.19</v>
      </c>
      <c r="K224" s="593">
        <v>1.19</v>
      </c>
      <c r="L224" s="595"/>
      <c r="M224" s="558"/>
      <c r="N224" s="558"/>
      <c r="O224" s="596"/>
      <c r="P224" s="594">
        <f>H224*0.7</f>
        <v>0.7</v>
      </c>
      <c r="Q224" s="556">
        <f t="shared" si="181"/>
        <v>0.77700000000000002</v>
      </c>
      <c r="R224" s="556">
        <f t="shared" si="181"/>
        <v>0.83299999999999996</v>
      </c>
      <c r="S224" s="593">
        <f t="shared" si="181"/>
        <v>0.83299999999999996</v>
      </c>
      <c r="T224" s="597">
        <v>20</v>
      </c>
      <c r="U224" s="598"/>
      <c r="V224" s="599">
        <f>((JRC_Data!BB18+JRC_Data!BB45)*0.8/1000)*($U$291/$U$285)</f>
        <v>16.297955555555554</v>
      </c>
      <c r="W224" s="599">
        <f>((JRC_Data!BC18+JRC_Data!BC45)*0.8/1000)*($U$291/$U$285)</f>
        <v>15.006044444444443</v>
      </c>
      <c r="X224" s="599">
        <f>((JRC_Data!BD18+JRC_Data!BD45)*0.8/1000)*($U$291/$U$285)</f>
        <v>14.509155555555553</v>
      </c>
      <c r="Y224" s="599">
        <f>((JRC_Data!BE18+JRC_Data!BE45)*0.8/1000)*($U$291/$U$285)</f>
        <v>12.620977777777776</v>
      </c>
      <c r="Z224" s="514">
        <f>JRC_Data!$BL$18/1000*($U$291/$U$285)</f>
        <v>0.18633333333333332</v>
      </c>
      <c r="AA224" s="600"/>
      <c r="AB224" s="595">
        <v>0.66</v>
      </c>
      <c r="AC224" s="601"/>
      <c r="AD224" s="601"/>
      <c r="AE224" s="601"/>
      <c r="AF224" s="601"/>
      <c r="AG224" s="600">
        <v>5</v>
      </c>
      <c r="AH224" s="599">
        <f t="shared" si="149"/>
        <v>1.1983680000000001</v>
      </c>
      <c r="AI224" s="600"/>
      <c r="AJ224" s="600">
        <v>2019</v>
      </c>
      <c r="AK224" s="602">
        <v>38</v>
      </c>
      <c r="AM224" s="100"/>
      <c r="AN224" s="205" t="str">
        <f t="shared" si="192"/>
        <v>R-SW_Det_ELC_HPN1-D</v>
      </c>
      <c r="AO224" s="205" t="str">
        <f t="shared" si="192"/>
        <v>Residential Electric Heat Pump - Air to Water - SH + WH - D rated dwelling</v>
      </c>
      <c r="AP224" s="100" t="s">
        <v>13</v>
      </c>
      <c r="AQ224" s="116" t="s">
        <v>119</v>
      </c>
      <c r="AR224" s="100" t="s">
        <v>684</v>
      </c>
      <c r="AT224" s="100" t="s">
        <v>75</v>
      </c>
    </row>
    <row r="225" spans="3:46" ht="15.75" thickBot="1" x14ac:dyDescent="0.3">
      <c r="C225" s="521" t="str">
        <f>"R-SW_Det"&amp;"_"&amp;RIGHT(E225,3)&amp;"_HPN2-ABC"</f>
        <v>R-SW_Det_ELC_HPN2-ABC</v>
      </c>
      <c r="D225" s="29" t="s">
        <v>768</v>
      </c>
      <c r="E225" s="30" t="s">
        <v>531</v>
      </c>
      <c r="F225" s="30" t="s">
        <v>565</v>
      </c>
      <c r="G225" s="58" t="s">
        <v>732</v>
      </c>
      <c r="H225" s="40">
        <v>1</v>
      </c>
      <c r="I225" s="29">
        <v>1.1100000000000001</v>
      </c>
      <c r="J225" s="29">
        <v>1.19</v>
      </c>
      <c r="K225" s="58">
        <v>1.19</v>
      </c>
      <c r="L225" s="42"/>
      <c r="M225" s="31"/>
      <c r="N225" s="31"/>
      <c r="O225" s="43"/>
      <c r="P225" s="40">
        <v>0.7</v>
      </c>
      <c r="Q225" s="29">
        <v>0.77700000000000002</v>
      </c>
      <c r="R225" s="29">
        <v>0.83299999999999996</v>
      </c>
      <c r="S225" s="58">
        <v>0.83299999999999996</v>
      </c>
      <c r="T225" s="54">
        <v>20</v>
      </c>
      <c r="U225" s="41"/>
      <c r="V225" s="62">
        <v>16.297955555555554</v>
      </c>
      <c r="W225" s="62">
        <v>15.006044444444443</v>
      </c>
      <c r="X225" s="62">
        <v>14.509155555555553</v>
      </c>
      <c r="Y225" s="62">
        <v>12.620977777777776</v>
      </c>
      <c r="Z225" s="514">
        <f>JRC_Data!$BL$18/1000*($U$291/$U$285)</f>
        <v>0.18633333333333332</v>
      </c>
      <c r="AA225" s="65"/>
      <c r="AB225" s="42">
        <v>0.66</v>
      </c>
      <c r="AC225" s="71"/>
      <c r="AD225" s="71"/>
      <c r="AE225" s="71"/>
      <c r="AF225" s="71"/>
      <c r="AG225" s="209">
        <v>5</v>
      </c>
      <c r="AH225" s="62">
        <v>1.1983680000000001</v>
      </c>
      <c r="AI225" s="65"/>
      <c r="AJ225" s="65">
        <v>2019</v>
      </c>
      <c r="AK225" s="522">
        <v>38</v>
      </c>
      <c r="AM225" s="100"/>
      <c r="AN225" s="205" t="str">
        <f t="shared" si="192"/>
        <v>R-SW_Det_ELC_HPN1-E</v>
      </c>
      <c r="AO225" s="205" t="str">
        <f t="shared" si="192"/>
        <v>Residential Electric Heat Pump - Air to Water - SH + WH - E rated dwelling</v>
      </c>
      <c r="AP225" s="100" t="s">
        <v>13</v>
      </c>
      <c r="AQ225" s="116" t="s">
        <v>119</v>
      </c>
      <c r="AR225" s="100" t="s">
        <v>684</v>
      </c>
      <c r="AT225" s="100" t="s">
        <v>75</v>
      </c>
    </row>
    <row r="226" spans="3:46" ht="15.75" thickBot="1" x14ac:dyDescent="0.3">
      <c r="C226" s="519" t="str">
        <f>"R-SW_Det"&amp;"_"&amp;RIGHT(E226,3)&amp;"_HPN2-ABD"</f>
        <v>R-SW_Det_ELC_HPN2-ABD</v>
      </c>
      <c r="D226" s="23" t="s">
        <v>769</v>
      </c>
      <c r="E226" s="24" t="s">
        <v>531</v>
      </c>
      <c r="F226" s="24" t="s">
        <v>565</v>
      </c>
      <c r="G226" s="57" t="s">
        <v>733</v>
      </c>
      <c r="H226" s="22">
        <v>1</v>
      </c>
      <c r="I226" s="23">
        <v>1.1100000000000001</v>
      </c>
      <c r="J226" s="23">
        <v>1.19</v>
      </c>
      <c r="K226" s="57">
        <v>1.19</v>
      </c>
      <c r="L226" s="44"/>
      <c r="M226" s="32"/>
      <c r="N226" s="32"/>
      <c r="O226" s="45"/>
      <c r="P226" s="22">
        <v>0.7</v>
      </c>
      <c r="Q226" s="23">
        <v>0.77700000000000002</v>
      </c>
      <c r="R226" s="23">
        <v>0.83299999999999996</v>
      </c>
      <c r="S226" s="57">
        <v>0.83299999999999996</v>
      </c>
      <c r="T226" s="53">
        <v>20</v>
      </c>
      <c r="U226" s="25"/>
      <c r="V226" s="63">
        <v>16.297955555555554</v>
      </c>
      <c r="W226" s="63">
        <v>15.006044444444443</v>
      </c>
      <c r="X226" s="63">
        <v>14.509155555555553</v>
      </c>
      <c r="Y226" s="63">
        <v>12.620977777777776</v>
      </c>
      <c r="Z226" s="514">
        <f>JRC_Data!$BL$18/1000*($U$291/$U$285)</f>
        <v>0.18633333333333332</v>
      </c>
      <c r="AA226" s="66"/>
      <c r="AB226" s="44">
        <v>0.66</v>
      </c>
      <c r="AC226" s="72"/>
      <c r="AD226" s="72"/>
      <c r="AE226" s="72"/>
      <c r="AF226" s="72"/>
      <c r="AG226" s="66">
        <v>5</v>
      </c>
      <c r="AH226" s="63">
        <v>1.1983680000000001</v>
      </c>
      <c r="AI226" s="66"/>
      <c r="AJ226" s="66">
        <v>2019</v>
      </c>
      <c r="AK226" s="520">
        <v>38</v>
      </c>
      <c r="AM226" s="100"/>
      <c r="AN226" s="205" t="str">
        <f t="shared" si="192"/>
        <v>R-SW_Det_ELC_HPN1-F</v>
      </c>
      <c r="AO226" s="205" t="str">
        <f t="shared" si="192"/>
        <v>Residential Electric Heat Pump - Air to Water - SH + WH - F rated dwelling</v>
      </c>
      <c r="AP226" s="100" t="s">
        <v>13</v>
      </c>
      <c r="AQ226" s="116" t="s">
        <v>119</v>
      </c>
      <c r="AR226" s="100" t="s">
        <v>684</v>
      </c>
      <c r="AT226" s="100" t="s">
        <v>75</v>
      </c>
    </row>
    <row r="227" spans="3:46" ht="15.75" thickBot="1" x14ac:dyDescent="0.3">
      <c r="C227" s="521" t="str">
        <f>"R-SW_Det"&amp;"_"&amp;RIGHT(E227,3)&amp;"_HPN2-ABE"</f>
        <v>R-SW_Det_ELC_HPN2-ABE</v>
      </c>
      <c r="D227" s="29" t="s">
        <v>770</v>
      </c>
      <c r="E227" s="30" t="s">
        <v>531</v>
      </c>
      <c r="F227" s="30" t="s">
        <v>565</v>
      </c>
      <c r="G227" s="58" t="s">
        <v>734</v>
      </c>
      <c r="H227" s="40">
        <v>1</v>
      </c>
      <c r="I227" s="29">
        <v>1.1100000000000001</v>
      </c>
      <c r="J227" s="29">
        <v>1.19</v>
      </c>
      <c r="K227" s="58">
        <v>1.19</v>
      </c>
      <c r="L227" s="42"/>
      <c r="M227" s="31"/>
      <c r="N227" s="31"/>
      <c r="O227" s="43"/>
      <c r="P227" s="40">
        <v>0.7</v>
      </c>
      <c r="Q227" s="29">
        <v>0.77700000000000002</v>
      </c>
      <c r="R227" s="29">
        <v>0.83299999999999996</v>
      </c>
      <c r="S227" s="58">
        <v>0.83299999999999996</v>
      </c>
      <c r="T227" s="54">
        <v>20</v>
      </c>
      <c r="U227" s="41"/>
      <c r="V227" s="62">
        <v>16.297955555555554</v>
      </c>
      <c r="W227" s="62">
        <v>15.006044444444443</v>
      </c>
      <c r="X227" s="62">
        <v>14.509155555555553</v>
      </c>
      <c r="Y227" s="62">
        <v>12.620977777777776</v>
      </c>
      <c r="Z227" s="514">
        <f>JRC_Data!$BL$18/1000*($U$291/$U$285)</f>
        <v>0.18633333333333332</v>
      </c>
      <c r="AA227" s="65"/>
      <c r="AB227" s="42">
        <v>0.66</v>
      </c>
      <c r="AC227" s="71"/>
      <c r="AD227" s="71"/>
      <c r="AE227" s="71"/>
      <c r="AF227" s="71"/>
      <c r="AG227" s="209">
        <v>5</v>
      </c>
      <c r="AH227" s="62">
        <v>1.1983680000000001</v>
      </c>
      <c r="AI227" s="65"/>
      <c r="AJ227" s="65">
        <v>2019</v>
      </c>
      <c r="AK227" s="522">
        <v>38</v>
      </c>
      <c r="AM227" s="100"/>
      <c r="AN227" s="205" t="str">
        <f t="shared" si="192"/>
        <v>R-SW_Det_ELC_HPN1-G</v>
      </c>
      <c r="AO227" s="205" t="str">
        <f t="shared" si="192"/>
        <v>Residential Electric Heat Pump - Air to Water - SH + WH - G rated dwelling</v>
      </c>
      <c r="AP227" s="100" t="s">
        <v>13</v>
      </c>
      <c r="AQ227" s="116" t="s">
        <v>119</v>
      </c>
      <c r="AR227" s="100" t="s">
        <v>684</v>
      </c>
      <c r="AT227" s="100" t="s">
        <v>75</v>
      </c>
    </row>
    <row r="228" spans="3:46" ht="15.75" thickBot="1" x14ac:dyDescent="0.3">
      <c r="C228" s="519" t="str">
        <f>"R-SW_Det"&amp;"_"&amp;RIGHT(E228,3)&amp;"_HPN2-ABF"</f>
        <v>R-SW_Det_ELC_HPN2-ABF</v>
      </c>
      <c r="D228" s="23" t="s">
        <v>784</v>
      </c>
      <c r="E228" s="24" t="s">
        <v>531</v>
      </c>
      <c r="F228" s="24" t="s">
        <v>565</v>
      </c>
      <c r="G228" s="57" t="s">
        <v>735</v>
      </c>
      <c r="H228" s="22">
        <v>1</v>
      </c>
      <c r="I228" s="23">
        <v>1.1100000000000001</v>
      </c>
      <c r="J228" s="23">
        <v>1.19</v>
      </c>
      <c r="K228" s="57">
        <v>1.19</v>
      </c>
      <c r="L228" s="44"/>
      <c r="M228" s="32"/>
      <c r="N228" s="32"/>
      <c r="O228" s="45"/>
      <c r="P228" s="22">
        <v>0.7</v>
      </c>
      <c r="Q228" s="23">
        <v>0.77700000000000002</v>
      </c>
      <c r="R228" s="23">
        <v>0.83299999999999996</v>
      </c>
      <c r="S228" s="57">
        <v>0.83299999999999996</v>
      </c>
      <c r="T228" s="53">
        <v>20</v>
      </c>
      <c r="U228" s="25"/>
      <c r="V228" s="63">
        <v>16.297955555555554</v>
      </c>
      <c r="W228" s="63">
        <v>15.006044444444443</v>
      </c>
      <c r="X228" s="63">
        <v>14.509155555555553</v>
      </c>
      <c r="Y228" s="63">
        <v>12.620977777777776</v>
      </c>
      <c r="Z228" s="514">
        <f>JRC_Data!$BL$18/1000*($U$291/$U$285)</f>
        <v>0.18633333333333332</v>
      </c>
      <c r="AA228" s="66"/>
      <c r="AB228" s="44">
        <v>0.66</v>
      </c>
      <c r="AC228" s="72"/>
      <c r="AD228" s="72"/>
      <c r="AE228" s="72"/>
      <c r="AF228" s="72"/>
      <c r="AG228" s="66">
        <v>5</v>
      </c>
      <c r="AH228" s="63">
        <v>1.1983680000000001</v>
      </c>
      <c r="AI228" s="66"/>
      <c r="AJ228" s="66">
        <v>2019</v>
      </c>
      <c r="AK228" s="520">
        <v>38</v>
      </c>
      <c r="AM228" s="100"/>
      <c r="AN228" s="205" t="str">
        <f t="shared" si="192"/>
        <v>R-SW_Det_ELC_HPN2-AB</v>
      </c>
      <c r="AO228" s="205" t="str">
        <f t="shared" si="192"/>
        <v>Residential Electric Heat Pump AB - Air to Water - SH + WH + Solar - AB rated dwelling</v>
      </c>
      <c r="AP228" s="100" t="s">
        <v>13</v>
      </c>
      <c r="AQ228" s="116" t="s">
        <v>119</v>
      </c>
      <c r="AR228" s="100" t="s">
        <v>684</v>
      </c>
      <c r="AT228" s="100" t="s">
        <v>75</v>
      </c>
    </row>
    <row r="229" spans="3:46" ht="15.75" thickBot="1" x14ac:dyDescent="0.3">
      <c r="C229" s="521" t="str">
        <f>"R-SW_Det"&amp;"_"&amp;RIGHT(E229,3)&amp;"_HPN2-ABG"</f>
        <v>R-SW_Det_ELC_HPN2-ABG</v>
      </c>
      <c r="D229" s="29" t="s">
        <v>772</v>
      </c>
      <c r="E229" s="30" t="s">
        <v>531</v>
      </c>
      <c r="F229" s="30" t="s">
        <v>565</v>
      </c>
      <c r="G229" s="58" t="s">
        <v>736</v>
      </c>
      <c r="H229" s="40">
        <v>1</v>
      </c>
      <c r="I229" s="29">
        <v>1.1100000000000001</v>
      </c>
      <c r="J229" s="29">
        <v>1.19</v>
      </c>
      <c r="K229" s="58">
        <v>1.19</v>
      </c>
      <c r="L229" s="42"/>
      <c r="M229" s="31"/>
      <c r="N229" s="31"/>
      <c r="O229" s="43"/>
      <c r="P229" s="40">
        <v>0.7</v>
      </c>
      <c r="Q229" s="29">
        <v>0.77700000000000002</v>
      </c>
      <c r="R229" s="29">
        <v>0.83299999999999996</v>
      </c>
      <c r="S229" s="58">
        <v>0.83299999999999996</v>
      </c>
      <c r="T229" s="54">
        <v>20</v>
      </c>
      <c r="U229" s="41"/>
      <c r="V229" s="62">
        <v>16.297955555555554</v>
      </c>
      <c r="W229" s="62">
        <v>15.006044444444443</v>
      </c>
      <c r="X229" s="62">
        <v>14.509155555555553</v>
      </c>
      <c r="Y229" s="62">
        <v>12.620977777777776</v>
      </c>
      <c r="Z229" s="514">
        <f>JRC_Data!$BL$18/1000*($U$291/$U$285)</f>
        <v>0.18633333333333332</v>
      </c>
      <c r="AA229" s="65"/>
      <c r="AB229" s="42">
        <v>0.66</v>
      </c>
      <c r="AC229" s="71"/>
      <c r="AD229" s="71"/>
      <c r="AE229" s="71"/>
      <c r="AF229" s="71"/>
      <c r="AG229" s="209">
        <v>5</v>
      </c>
      <c r="AH229" s="62">
        <v>1.1983680000000001</v>
      </c>
      <c r="AI229" s="65"/>
      <c r="AJ229" s="65">
        <v>2019</v>
      </c>
      <c r="AK229" s="522">
        <v>38</v>
      </c>
      <c r="AM229" s="100"/>
      <c r="AN229" s="205" t="str">
        <f t="shared" ref="AN229:AO229" si="193">C225</f>
        <v>R-SW_Det_ELC_HPN2-ABC</v>
      </c>
      <c r="AO229" s="205" t="str">
        <f t="shared" si="193"/>
        <v>Residential Electric Heat Pump AB - Air to Water - SH + WH + Solar - C rated dwelling</v>
      </c>
      <c r="AP229" s="100" t="s">
        <v>13</v>
      </c>
      <c r="AQ229" s="116" t="s">
        <v>119</v>
      </c>
      <c r="AR229" s="100" t="s">
        <v>684</v>
      </c>
      <c r="AS229" s="4"/>
      <c r="AT229" s="100" t="s">
        <v>75</v>
      </c>
    </row>
    <row r="230" spans="3:46" ht="15.75" thickBot="1" x14ac:dyDescent="0.3">
      <c r="C230" s="519" t="str">
        <f>"R-SW_Det"&amp;"_"&amp;RIGHT(E230,3)&amp;"_HPN2-C"</f>
        <v>R-SW_Det_ELC_HPN2-C</v>
      </c>
      <c r="D230" s="23" t="s">
        <v>643</v>
      </c>
      <c r="E230" s="24" t="s">
        <v>531</v>
      </c>
      <c r="F230" s="24" t="s">
        <v>565</v>
      </c>
      <c r="G230" s="57" t="s">
        <v>732</v>
      </c>
      <c r="H230" s="22">
        <f>$H$224*AM320</f>
        <v>0.85285285285285284</v>
      </c>
      <c r="I230" s="23">
        <f>$I$224*AM320</f>
        <v>0.94666666666666677</v>
      </c>
      <c r="J230" s="23">
        <f>$J$224*AM320</f>
        <v>1.0148948948948948</v>
      </c>
      <c r="K230" s="57">
        <f>$K$224*AM320</f>
        <v>1.0148948948948948</v>
      </c>
      <c r="L230" s="44"/>
      <c r="M230" s="32"/>
      <c r="N230" s="32"/>
      <c r="O230" s="45"/>
      <c r="P230" s="22">
        <f t="shared" ref="P230:P234" si="194">H230*0.7</f>
        <v>0.59699699699699693</v>
      </c>
      <c r="Q230" s="23">
        <f t="shared" si="181"/>
        <v>0.66266666666666674</v>
      </c>
      <c r="R230" s="23">
        <f t="shared" si="181"/>
        <v>0.71042642642642628</v>
      </c>
      <c r="S230" s="57">
        <f t="shared" si="181"/>
        <v>0.71042642642642628</v>
      </c>
      <c r="T230" s="53">
        <v>20</v>
      </c>
      <c r="U230" s="25"/>
      <c r="V230" s="63">
        <f t="shared" ref="V230:Y234" si="195">V26/$V$20*$V$224</f>
        <v>17.182987923184246</v>
      </c>
      <c r="W230" s="63">
        <f t="shared" si="195"/>
        <v>17.182987923184246</v>
      </c>
      <c r="X230" s="63">
        <f t="shared" si="195"/>
        <v>15.553192367628691</v>
      </c>
      <c r="Y230" s="63">
        <f t="shared" si="195"/>
        <v>15.553192367628691</v>
      </c>
      <c r="Z230" s="514">
        <f>JRC_Data!$BL$18/1000*($U$291/$U$285)</f>
        <v>0.18633333333333332</v>
      </c>
      <c r="AA230" s="66"/>
      <c r="AB230" s="44">
        <v>0.66</v>
      </c>
      <c r="AC230" s="72"/>
      <c r="AD230" s="72"/>
      <c r="AE230" s="72"/>
      <c r="AF230" s="72"/>
      <c r="AG230" s="66">
        <v>5</v>
      </c>
      <c r="AH230" s="63">
        <f t="shared" si="149"/>
        <v>1.1983680000000001</v>
      </c>
      <c r="AI230" s="66"/>
      <c r="AJ230" s="24">
        <f>IF($A$2="No",2100,2019)</f>
        <v>2100</v>
      </c>
      <c r="AK230" s="520">
        <v>38</v>
      </c>
      <c r="AL230" s="4"/>
      <c r="AM230" s="100"/>
      <c r="AN230" s="205" t="str">
        <f t="shared" ref="AN230:AO230" si="196">C226</f>
        <v>R-SW_Det_ELC_HPN2-ABD</v>
      </c>
      <c r="AO230" s="205" t="str">
        <f t="shared" si="196"/>
        <v>Residential Electric Heat Pump AB - Air to Water - SH + WH + Solar - D rated dwelling</v>
      </c>
      <c r="AP230" s="100" t="s">
        <v>13</v>
      </c>
      <c r="AQ230" s="116" t="s">
        <v>119</v>
      </c>
      <c r="AR230" s="100" t="s">
        <v>684</v>
      </c>
      <c r="AS230" s="4"/>
      <c r="AT230" s="100" t="s">
        <v>75</v>
      </c>
    </row>
    <row r="231" spans="3:46" ht="15.75" thickBot="1" x14ac:dyDescent="0.3">
      <c r="C231" s="521" t="str">
        <f>"R-SW_Det"&amp;"_"&amp;RIGHT(E231,3)&amp;"_HPN2-D"</f>
        <v>R-SW_Det_ELC_HPN2-D</v>
      </c>
      <c r="D231" s="29" t="s">
        <v>644</v>
      </c>
      <c r="E231" s="30" t="s">
        <v>531</v>
      </c>
      <c r="F231" s="30" t="s">
        <v>565</v>
      </c>
      <c r="G231" s="58" t="s">
        <v>733</v>
      </c>
      <c r="H231" s="40">
        <f>$H$224*AM321</f>
        <v>0.81606606606606602</v>
      </c>
      <c r="I231" s="29">
        <f>$I$224*AM321</f>
        <v>0.90583333333333338</v>
      </c>
      <c r="J231" s="29">
        <f>$J$224*AM321</f>
        <v>0.97111861861861848</v>
      </c>
      <c r="K231" s="58">
        <f>$K$224*AM321</f>
        <v>0.97111861861861848</v>
      </c>
      <c r="L231" s="42"/>
      <c r="M231" s="31"/>
      <c r="N231" s="31"/>
      <c r="O231" s="43"/>
      <c r="P231" s="40">
        <f t="shared" si="194"/>
        <v>0.5712462462462462</v>
      </c>
      <c r="Q231" s="29">
        <f t="shared" si="181"/>
        <v>0.63408333333333333</v>
      </c>
      <c r="R231" s="29">
        <f t="shared" si="181"/>
        <v>0.67978303303303289</v>
      </c>
      <c r="S231" s="58">
        <f t="shared" si="181"/>
        <v>0.67978303303303289</v>
      </c>
      <c r="T231" s="54">
        <v>20</v>
      </c>
      <c r="U231" s="41"/>
      <c r="V231" s="62">
        <f t="shared" si="195"/>
        <v>18.068020290812939</v>
      </c>
      <c r="W231" s="62">
        <f t="shared" si="195"/>
        <v>18.068020290812939</v>
      </c>
      <c r="X231" s="62">
        <f t="shared" si="195"/>
        <v>16.438224735257382</v>
      </c>
      <c r="Y231" s="62">
        <f t="shared" si="195"/>
        <v>16.438224735257382</v>
      </c>
      <c r="Z231" s="514">
        <f>JRC_Data!$BL$18/1000*($U$291/$U$285)</f>
        <v>0.18633333333333332</v>
      </c>
      <c r="AA231" s="65"/>
      <c r="AB231" s="42">
        <v>0.66</v>
      </c>
      <c r="AC231" s="71"/>
      <c r="AD231" s="71"/>
      <c r="AE231" s="71"/>
      <c r="AF231" s="71"/>
      <c r="AG231" s="209">
        <v>5</v>
      </c>
      <c r="AH231" s="62">
        <f t="shared" si="149"/>
        <v>1.1983680000000001</v>
      </c>
      <c r="AI231" s="65"/>
      <c r="AJ231" s="24">
        <f t="shared" ref="AJ231:AJ234" si="197">IF($A$2="No",2100,2019)</f>
        <v>2100</v>
      </c>
      <c r="AK231" s="522">
        <v>38</v>
      </c>
      <c r="AL231" s="4"/>
      <c r="AM231" s="100"/>
      <c r="AN231" s="205" t="str">
        <f t="shared" ref="AN231:AO231" si="198">C227</f>
        <v>R-SW_Det_ELC_HPN2-ABE</v>
      </c>
      <c r="AO231" s="205" t="str">
        <f t="shared" si="198"/>
        <v>Residential Electric Heat Pump AB - Air to Water - SH + WH + Solar - E rated dwelling</v>
      </c>
      <c r="AP231" s="100" t="s">
        <v>13</v>
      </c>
      <c r="AQ231" s="116" t="s">
        <v>119</v>
      </c>
      <c r="AR231" s="100" t="s">
        <v>684</v>
      </c>
      <c r="AS231" s="4"/>
      <c r="AT231" s="100" t="s">
        <v>75</v>
      </c>
    </row>
    <row r="232" spans="3:46" ht="15.75" thickBot="1" x14ac:dyDescent="0.3">
      <c r="C232" s="519" t="str">
        <f>"R-SW_Det"&amp;"_"&amp;RIGHT(E232,3)&amp;"_HPN2-E"</f>
        <v>R-SW_Det_ELC_HPN2-E</v>
      </c>
      <c r="D232" s="23" t="s">
        <v>645</v>
      </c>
      <c r="E232" s="24" t="s">
        <v>531</v>
      </c>
      <c r="F232" s="24" t="s">
        <v>565</v>
      </c>
      <c r="G232" s="57" t="s">
        <v>734</v>
      </c>
      <c r="H232" s="22">
        <f>$H$224*AM322</f>
        <v>0.7792792792792792</v>
      </c>
      <c r="I232" s="23">
        <f>$I$224*AM322</f>
        <v>0.86499999999999999</v>
      </c>
      <c r="J232" s="23">
        <f>$J$224*AM322</f>
        <v>0.92734234234234225</v>
      </c>
      <c r="K232" s="57">
        <f>$K$224*AM322</f>
        <v>0.92734234234234225</v>
      </c>
      <c r="L232" s="44"/>
      <c r="M232" s="32"/>
      <c r="N232" s="32"/>
      <c r="O232" s="45"/>
      <c r="P232" s="22">
        <f t="shared" si="194"/>
        <v>0.54549549549549536</v>
      </c>
      <c r="Q232" s="23">
        <f t="shared" si="181"/>
        <v>0.60549999999999993</v>
      </c>
      <c r="R232" s="23">
        <f t="shared" si="181"/>
        <v>0.6491396396396395</v>
      </c>
      <c r="S232" s="57">
        <f t="shared" si="181"/>
        <v>0.6491396396396395</v>
      </c>
      <c r="T232" s="53">
        <v>20</v>
      </c>
      <c r="U232" s="25"/>
      <c r="V232" s="63">
        <f t="shared" si="195"/>
        <v>18.979871821097046</v>
      </c>
      <c r="W232" s="63">
        <f t="shared" si="195"/>
        <v>18.979871821097046</v>
      </c>
      <c r="X232" s="63">
        <f t="shared" si="195"/>
        <v>17.350076265541489</v>
      </c>
      <c r="Y232" s="63">
        <f t="shared" si="195"/>
        <v>17.350076265541489</v>
      </c>
      <c r="Z232" s="514">
        <f>JRC_Data!$BL$18/1000*($U$291/$U$285)</f>
        <v>0.18633333333333332</v>
      </c>
      <c r="AA232" s="66"/>
      <c r="AB232" s="44">
        <v>0.66</v>
      </c>
      <c r="AC232" s="72"/>
      <c r="AD232" s="72"/>
      <c r="AE232" s="72"/>
      <c r="AF232" s="72"/>
      <c r="AG232" s="66">
        <v>5</v>
      </c>
      <c r="AH232" s="63">
        <f t="shared" si="149"/>
        <v>1.1983680000000001</v>
      </c>
      <c r="AI232" s="66"/>
      <c r="AJ232" s="24">
        <f t="shared" si="197"/>
        <v>2100</v>
      </c>
      <c r="AK232" s="520">
        <v>38</v>
      </c>
      <c r="AL232" s="4"/>
      <c r="AM232" s="100"/>
      <c r="AN232" s="205" t="str">
        <f t="shared" ref="AN232:AO232" si="199">C228</f>
        <v>R-SW_Det_ELC_HPN2-ABF</v>
      </c>
      <c r="AO232" s="205" t="str">
        <f t="shared" si="199"/>
        <v>Residential Electric Heat Pump AB - Air to Water - SH + WH + Solar - F rated dwelling</v>
      </c>
      <c r="AP232" s="100" t="s">
        <v>13</v>
      </c>
      <c r="AQ232" s="116" t="s">
        <v>119</v>
      </c>
      <c r="AR232" s="100" t="s">
        <v>684</v>
      </c>
      <c r="AS232" s="4"/>
      <c r="AT232" s="100" t="s">
        <v>75</v>
      </c>
    </row>
    <row r="233" spans="3:46" ht="15.75" thickBot="1" x14ac:dyDescent="0.3">
      <c r="C233" s="521" t="str">
        <f>"R-SW_Det"&amp;"_"&amp;RIGHT(E233,3)&amp;"_HPN2-F"</f>
        <v>R-SW_Det_ELC_HPN2-F</v>
      </c>
      <c r="D233" s="29" t="s">
        <v>646</v>
      </c>
      <c r="E233" s="30" t="s">
        <v>531</v>
      </c>
      <c r="F233" s="30" t="s">
        <v>565</v>
      </c>
      <c r="G233" s="58" t="s">
        <v>735</v>
      </c>
      <c r="H233" s="40">
        <f>$H$224*AM323</f>
        <v>0.74249249249249238</v>
      </c>
      <c r="I233" s="29">
        <f>$I$224*AM323</f>
        <v>0.8241666666666666</v>
      </c>
      <c r="J233" s="29">
        <f>$J$224*AM323</f>
        <v>0.88356606606606591</v>
      </c>
      <c r="K233" s="58">
        <f>$K$224*AM323</f>
        <v>0.88356606606606591</v>
      </c>
      <c r="L233" s="42"/>
      <c r="M233" s="31"/>
      <c r="N233" s="31"/>
      <c r="O233" s="43"/>
      <c r="P233" s="40">
        <f t="shared" si="194"/>
        <v>0.51974474474474464</v>
      </c>
      <c r="Q233" s="29">
        <f t="shared" si="181"/>
        <v>0.57691666666666663</v>
      </c>
      <c r="R233" s="29">
        <f t="shared" si="181"/>
        <v>0.61849624624624611</v>
      </c>
      <c r="S233" s="58">
        <f t="shared" si="181"/>
        <v>0.61849624624624611</v>
      </c>
      <c r="T233" s="54">
        <v>20</v>
      </c>
      <c r="U233" s="41"/>
      <c r="V233" s="62">
        <f t="shared" si="195"/>
        <v>19.2608697209564</v>
      </c>
      <c r="W233" s="62">
        <f t="shared" si="195"/>
        <v>19.2608697209564</v>
      </c>
      <c r="X233" s="62">
        <f t="shared" si="195"/>
        <v>17.631074165400843</v>
      </c>
      <c r="Y233" s="62">
        <f t="shared" si="195"/>
        <v>17.631074165400843</v>
      </c>
      <c r="Z233" s="514">
        <f>JRC_Data!$BL$18/1000*($U$291/$U$285)</f>
        <v>0.18633333333333332</v>
      </c>
      <c r="AA233" s="65"/>
      <c r="AB233" s="42">
        <v>0.66</v>
      </c>
      <c r="AC233" s="71"/>
      <c r="AD233" s="71"/>
      <c r="AE233" s="71"/>
      <c r="AF233" s="71"/>
      <c r="AG233" s="209">
        <v>5</v>
      </c>
      <c r="AH233" s="62">
        <f t="shared" si="149"/>
        <v>1.1983680000000001</v>
      </c>
      <c r="AI233" s="65"/>
      <c r="AJ233" s="24">
        <f t="shared" si="197"/>
        <v>2100</v>
      </c>
      <c r="AK233" s="522">
        <v>38</v>
      </c>
      <c r="AL233" s="4"/>
      <c r="AM233" s="100"/>
      <c r="AN233" s="205" t="str">
        <f t="shared" ref="AN233:AO233" si="200">C229</f>
        <v>R-SW_Det_ELC_HPN2-ABG</v>
      </c>
      <c r="AO233" s="205" t="str">
        <f t="shared" si="200"/>
        <v>Residential Electric Heat Pump AB - Air to Water - SH + WH + Solar - G rated dwelling</v>
      </c>
      <c r="AP233" s="100" t="s">
        <v>13</v>
      </c>
      <c r="AQ233" s="116" t="s">
        <v>119</v>
      </c>
      <c r="AR233" s="100" t="s">
        <v>684</v>
      </c>
      <c r="AS233" s="4"/>
      <c r="AT233" s="100" t="s">
        <v>75</v>
      </c>
    </row>
    <row r="234" spans="3:46" ht="15.75" thickBot="1" x14ac:dyDescent="0.3">
      <c r="C234" s="523" t="str">
        <f>"R-SW_Det"&amp;"_"&amp;RIGHT(E234,3)&amp;"_HPN2-G"</f>
        <v>R-SW_Det_ELC_HPN2-G</v>
      </c>
      <c r="D234" s="526" t="s">
        <v>647</v>
      </c>
      <c r="E234" s="524" t="s">
        <v>531</v>
      </c>
      <c r="F234" s="524" t="s">
        <v>565</v>
      </c>
      <c r="G234" s="527" t="s">
        <v>736</v>
      </c>
      <c r="H234" s="525">
        <f>$H$224*AM324</f>
        <v>0.70570570570570568</v>
      </c>
      <c r="I234" s="526">
        <f>$I$224*AM324</f>
        <v>0.78333333333333333</v>
      </c>
      <c r="J234" s="526">
        <f>$J$224*AM324</f>
        <v>0.83978978978978969</v>
      </c>
      <c r="K234" s="527">
        <f>$K$224*AM324</f>
        <v>0.83978978978978969</v>
      </c>
      <c r="L234" s="578"/>
      <c r="M234" s="542"/>
      <c r="N234" s="542"/>
      <c r="O234" s="579"/>
      <c r="P234" s="525">
        <f t="shared" si="194"/>
        <v>0.49399399399399396</v>
      </c>
      <c r="Q234" s="526">
        <f t="shared" si="181"/>
        <v>0.54833333333333334</v>
      </c>
      <c r="R234" s="526">
        <f t="shared" si="181"/>
        <v>0.58785285285285271</v>
      </c>
      <c r="S234" s="527">
        <f t="shared" si="181"/>
        <v>0.58785285285285271</v>
      </c>
      <c r="T234" s="580">
        <v>20</v>
      </c>
      <c r="U234" s="581"/>
      <c r="V234" s="528">
        <f t="shared" si="195"/>
        <v>19.541867620815751</v>
      </c>
      <c r="W234" s="528">
        <f t="shared" si="195"/>
        <v>19.541867620815751</v>
      </c>
      <c r="X234" s="528">
        <f t="shared" si="195"/>
        <v>17.912072065260194</v>
      </c>
      <c r="Y234" s="528">
        <f t="shared" si="195"/>
        <v>17.912072065260194</v>
      </c>
      <c r="Z234" s="514">
        <f>JRC_Data!$BL$18/1000*($U$291/$U$285)</f>
        <v>0.18633333333333332</v>
      </c>
      <c r="AA234" s="529"/>
      <c r="AB234" s="578">
        <v>0.66</v>
      </c>
      <c r="AC234" s="530"/>
      <c r="AD234" s="530"/>
      <c r="AE234" s="530"/>
      <c r="AF234" s="530"/>
      <c r="AG234" s="529">
        <v>5</v>
      </c>
      <c r="AH234" s="528">
        <f t="shared" si="149"/>
        <v>1.1983680000000001</v>
      </c>
      <c r="AI234" s="529"/>
      <c r="AJ234" s="24">
        <f t="shared" si="197"/>
        <v>2100</v>
      </c>
      <c r="AK234" s="531">
        <v>38</v>
      </c>
      <c r="AL234" s="4"/>
      <c r="AM234" s="100"/>
      <c r="AN234" s="205" t="str">
        <f t="shared" ref="AN234:AO239" si="201">C230</f>
        <v>R-SW_Det_ELC_HPN2-C</v>
      </c>
      <c r="AO234" s="205" t="str">
        <f t="shared" si="201"/>
        <v>Residential Electric Heat Pump - Air to Water - SH + WH + Solar - C rated dwelling</v>
      </c>
      <c r="AP234" s="100" t="s">
        <v>13</v>
      </c>
      <c r="AQ234" s="116" t="s">
        <v>119</v>
      </c>
      <c r="AR234" s="100" t="s">
        <v>684</v>
      </c>
      <c r="AT234" s="100" t="s">
        <v>75</v>
      </c>
    </row>
    <row r="235" spans="3:46" ht="15.75" thickBot="1" x14ac:dyDescent="0.3">
      <c r="C235" s="510" t="str">
        <f>"R-SH_Det"&amp;"_"&amp;RIGHT(E235,3)&amp;"_HPN3-AB"</f>
        <v>R-SH_Det_ELC_HPN3-AB</v>
      </c>
      <c r="D235" s="513" t="s">
        <v>752</v>
      </c>
      <c r="E235" s="511" t="s">
        <v>144</v>
      </c>
      <c r="F235" s="511" t="s">
        <v>539</v>
      </c>
      <c r="G235" s="514" t="s">
        <v>626</v>
      </c>
      <c r="H235" s="512">
        <v>1.0999999999999999</v>
      </c>
      <c r="I235" s="513">
        <v>1.1666666666666667</v>
      </c>
      <c r="J235" s="513">
        <v>1.3333333333333333</v>
      </c>
      <c r="K235" s="514">
        <v>1.5</v>
      </c>
      <c r="L235" s="573"/>
      <c r="M235" s="539"/>
      <c r="N235" s="539"/>
      <c r="O235" s="574"/>
      <c r="P235" s="512"/>
      <c r="Q235" s="513"/>
      <c r="R235" s="513"/>
      <c r="S235" s="514"/>
      <c r="T235" s="575">
        <v>20</v>
      </c>
      <c r="U235" s="576"/>
      <c r="V235" s="515">
        <f>(JRC_Data!BB20/1000)*($U$290/$U$285)</f>
        <v>16.115555555555552</v>
      </c>
      <c r="W235" s="515">
        <f>(JRC_Data!BC20/1000)*($U$290/$U$285)</f>
        <v>14.964444444444442</v>
      </c>
      <c r="X235" s="515">
        <f>(JRC_Data!BD20/1000)*($U$290/$U$285)</f>
        <v>13.813333333333333</v>
      </c>
      <c r="Y235" s="515">
        <f>(JRC_Data!BE20/1000)*($U$290/$U$285)</f>
        <v>12.662222222222221</v>
      </c>
      <c r="Z235" s="514">
        <f>JRC_Data!$BL$18/1000*($U$290/$U$285)</f>
        <v>0.17266666666666663</v>
      </c>
      <c r="AA235" s="516"/>
      <c r="AB235" s="573"/>
      <c r="AC235" s="517"/>
      <c r="AD235" s="517"/>
      <c r="AE235" s="517"/>
      <c r="AF235" s="517"/>
      <c r="AG235" s="577"/>
      <c r="AH235" s="515">
        <f t="shared" si="149"/>
        <v>0.94608000000000003</v>
      </c>
      <c r="AI235" s="516"/>
      <c r="AJ235" s="516">
        <v>2019</v>
      </c>
      <c r="AK235" s="518">
        <v>30</v>
      </c>
      <c r="AL235" s="4"/>
      <c r="AM235" s="100"/>
      <c r="AN235" s="205" t="str">
        <f t="shared" si="201"/>
        <v>R-SW_Det_ELC_HPN2-D</v>
      </c>
      <c r="AO235" s="205" t="str">
        <f t="shared" si="201"/>
        <v>Residential Electric Heat Pump - Air to Water - SH + WH + Solar - D rated dwelling</v>
      </c>
      <c r="AP235" s="100" t="s">
        <v>13</v>
      </c>
      <c r="AQ235" s="116" t="s">
        <v>119</v>
      </c>
      <c r="AR235" s="100" t="s">
        <v>684</v>
      </c>
      <c r="AT235" s="100" t="s">
        <v>75</v>
      </c>
    </row>
    <row r="236" spans="3:46" ht="15.75" thickBot="1" x14ac:dyDescent="0.3">
      <c r="C236" s="519" t="str">
        <f>"R-SH_Det"&amp;"_"&amp;RIGHT(E236,3)&amp;"_HPN3-ABC"</f>
        <v>R-SH_Det_ELC_HPN3-ABC</v>
      </c>
      <c r="D236" s="23" t="s">
        <v>773</v>
      </c>
      <c r="E236" s="24" t="s">
        <v>144</v>
      </c>
      <c r="F236" s="24" t="s">
        <v>539</v>
      </c>
      <c r="G236" s="57" t="s">
        <v>648</v>
      </c>
      <c r="H236" s="22">
        <v>1.0999999999999999</v>
      </c>
      <c r="I236" s="23">
        <v>1.1666666666666667</v>
      </c>
      <c r="J236" s="23">
        <v>1.3333333333333333</v>
      </c>
      <c r="K236" s="57">
        <v>1.5</v>
      </c>
      <c r="L236" s="44"/>
      <c r="M236" s="32"/>
      <c r="N236" s="32"/>
      <c r="O236" s="45"/>
      <c r="P236" s="22"/>
      <c r="Q236" s="23"/>
      <c r="R236" s="23"/>
      <c r="S236" s="57"/>
      <c r="T236" s="53">
        <v>20</v>
      </c>
      <c r="U236" s="25"/>
      <c r="V236" s="63">
        <v>16.115555555555552</v>
      </c>
      <c r="W236" s="63">
        <v>14.964444444444442</v>
      </c>
      <c r="X236" s="63">
        <v>13.813333333333333</v>
      </c>
      <c r="Y236" s="63">
        <v>12.662222222222221</v>
      </c>
      <c r="Z236" s="514">
        <f>JRC_Data!$BL$18/1000*($U$290/$U$285)</f>
        <v>0.17266666666666663</v>
      </c>
      <c r="AA236" s="66"/>
      <c r="AB236" s="44"/>
      <c r="AC236" s="72"/>
      <c r="AD236" s="72"/>
      <c r="AE236" s="72"/>
      <c r="AF236" s="72"/>
      <c r="AG236" s="66"/>
      <c r="AH236" s="63">
        <v>0.94608000000000003</v>
      </c>
      <c r="AI236" s="66"/>
      <c r="AJ236" s="66">
        <v>2019</v>
      </c>
      <c r="AK236" s="520">
        <v>30</v>
      </c>
      <c r="AL236" s="4"/>
      <c r="AM236" s="100"/>
      <c r="AN236" s="205" t="str">
        <f t="shared" si="201"/>
        <v>R-SW_Det_ELC_HPN2-E</v>
      </c>
      <c r="AO236" s="205" t="str">
        <f t="shared" si="201"/>
        <v>Residential Electric Heat Pump - Air to Water - SH + WH + Solar - E rated dwelling</v>
      </c>
      <c r="AP236" s="100" t="s">
        <v>13</v>
      </c>
      <c r="AQ236" s="116" t="s">
        <v>119</v>
      </c>
      <c r="AR236" s="100" t="s">
        <v>684</v>
      </c>
      <c r="AT236" s="100" t="s">
        <v>75</v>
      </c>
    </row>
    <row r="237" spans="3:46" ht="15.75" thickBot="1" x14ac:dyDescent="0.3">
      <c r="C237" s="521" t="str">
        <f>"R-SH_Det"&amp;"_"&amp;RIGHT(E237,3)&amp;"_HPN3-ABD"</f>
        <v>R-SH_Det_ELC_HPN3-ABD</v>
      </c>
      <c r="D237" s="29" t="s">
        <v>754</v>
      </c>
      <c r="E237" s="30" t="s">
        <v>144</v>
      </c>
      <c r="F237" s="30" t="s">
        <v>539</v>
      </c>
      <c r="G237" s="58" t="s">
        <v>649</v>
      </c>
      <c r="H237" s="40">
        <v>1.0999999999999999</v>
      </c>
      <c r="I237" s="29">
        <v>1.1666666666666667</v>
      </c>
      <c r="J237" s="29">
        <v>1.3333333333333333</v>
      </c>
      <c r="K237" s="58">
        <v>1.5</v>
      </c>
      <c r="L237" s="42"/>
      <c r="M237" s="31"/>
      <c r="N237" s="31"/>
      <c r="O237" s="43"/>
      <c r="P237" s="40"/>
      <c r="Q237" s="29"/>
      <c r="R237" s="29"/>
      <c r="S237" s="58"/>
      <c r="T237" s="54">
        <v>20</v>
      </c>
      <c r="U237" s="41"/>
      <c r="V237" s="62">
        <v>16.115555555555552</v>
      </c>
      <c r="W237" s="62">
        <v>14.964444444444442</v>
      </c>
      <c r="X237" s="62">
        <v>13.813333333333333</v>
      </c>
      <c r="Y237" s="62">
        <v>12.662222222222221</v>
      </c>
      <c r="Z237" s="514">
        <f>JRC_Data!$BL$18/1000*($U$290/$U$285)</f>
        <v>0.17266666666666663</v>
      </c>
      <c r="AA237" s="65"/>
      <c r="AB237" s="42"/>
      <c r="AC237" s="71"/>
      <c r="AD237" s="71"/>
      <c r="AE237" s="71"/>
      <c r="AF237" s="71"/>
      <c r="AG237" s="209"/>
      <c r="AH237" s="62">
        <v>0.94608000000000003</v>
      </c>
      <c r="AI237" s="65"/>
      <c r="AJ237" s="65">
        <v>2019</v>
      </c>
      <c r="AK237" s="522">
        <v>30</v>
      </c>
      <c r="AL237" s="4"/>
      <c r="AM237" s="100"/>
      <c r="AN237" s="205" t="str">
        <f t="shared" si="201"/>
        <v>R-SW_Det_ELC_HPN2-F</v>
      </c>
      <c r="AO237" s="205" t="str">
        <f t="shared" si="201"/>
        <v>Residential Electric Heat Pump - Air to Water - SH + WH + Solar - F rated dwelling</v>
      </c>
      <c r="AP237" s="100" t="s">
        <v>13</v>
      </c>
      <c r="AQ237" s="116" t="s">
        <v>119</v>
      </c>
      <c r="AR237" s="100" t="s">
        <v>684</v>
      </c>
      <c r="AT237" s="100" t="s">
        <v>75</v>
      </c>
    </row>
    <row r="238" spans="3:46" ht="15.75" thickBot="1" x14ac:dyDescent="0.3">
      <c r="C238" s="519" t="str">
        <f>"R-SH_Det"&amp;"_"&amp;RIGHT(E238,3)&amp;"_HPN3-ABE"</f>
        <v>R-SH_Det_ELC_HPN3-ABE</v>
      </c>
      <c r="D238" s="23" t="s">
        <v>785</v>
      </c>
      <c r="E238" s="24" t="s">
        <v>144</v>
      </c>
      <c r="F238" s="24" t="s">
        <v>539</v>
      </c>
      <c r="G238" s="57" t="s">
        <v>650</v>
      </c>
      <c r="H238" s="22">
        <v>1.0999999999999999</v>
      </c>
      <c r="I238" s="23">
        <v>1.1666666666666667</v>
      </c>
      <c r="J238" s="23">
        <v>1.3333333333333333</v>
      </c>
      <c r="K238" s="57">
        <v>1.5</v>
      </c>
      <c r="L238" s="44"/>
      <c r="M238" s="32"/>
      <c r="N238" s="32"/>
      <c r="O238" s="45"/>
      <c r="P238" s="22"/>
      <c r="Q238" s="23"/>
      <c r="R238" s="23"/>
      <c r="S238" s="57"/>
      <c r="T238" s="53">
        <v>20</v>
      </c>
      <c r="U238" s="25"/>
      <c r="V238" s="63">
        <v>16.115555555555552</v>
      </c>
      <c r="W238" s="63">
        <v>14.964444444444442</v>
      </c>
      <c r="X238" s="63">
        <v>13.813333333333333</v>
      </c>
      <c r="Y238" s="63">
        <v>12.662222222222221</v>
      </c>
      <c r="Z238" s="514">
        <f>JRC_Data!$BL$18/1000*($U$290/$U$285)</f>
        <v>0.17266666666666663</v>
      </c>
      <c r="AA238" s="66"/>
      <c r="AB238" s="44"/>
      <c r="AC238" s="72"/>
      <c r="AD238" s="72"/>
      <c r="AE238" s="72"/>
      <c r="AF238" s="72"/>
      <c r="AG238" s="66"/>
      <c r="AH238" s="63">
        <v>0.94608000000000003</v>
      </c>
      <c r="AI238" s="66"/>
      <c r="AJ238" s="66">
        <v>2019</v>
      </c>
      <c r="AK238" s="520">
        <v>30</v>
      </c>
      <c r="AL238" s="4"/>
      <c r="AN238" s="205" t="str">
        <f t="shared" si="201"/>
        <v>R-SW_Det_ELC_HPN2-G</v>
      </c>
      <c r="AO238" s="205" t="str">
        <f t="shared" si="201"/>
        <v>Residential Electric Heat Pump - Air to Water - SH + WH + Solar - G rated dwelling</v>
      </c>
      <c r="AP238" s="100" t="s">
        <v>13</v>
      </c>
      <c r="AQ238" s="116" t="s">
        <v>119</v>
      </c>
      <c r="AR238" s="100" t="s">
        <v>684</v>
      </c>
      <c r="AT238" s="100" t="s">
        <v>75</v>
      </c>
    </row>
    <row r="239" spans="3:46" ht="15.75" thickBot="1" x14ac:dyDescent="0.3">
      <c r="C239" s="521" t="str">
        <f>"R-SH_Det"&amp;"_"&amp;RIGHT(E239,3)&amp;"_HPN3-ABF"</f>
        <v>R-SH_Det_ELC_HPN3-ABF</v>
      </c>
      <c r="D239" s="29" t="s">
        <v>774</v>
      </c>
      <c r="E239" s="30" t="s">
        <v>144</v>
      </c>
      <c r="F239" s="30" t="s">
        <v>539</v>
      </c>
      <c r="G239" s="58" t="s">
        <v>652</v>
      </c>
      <c r="H239" s="40">
        <v>1.0999999999999999</v>
      </c>
      <c r="I239" s="29">
        <v>1.1666666666666667</v>
      </c>
      <c r="J239" s="29">
        <v>1.3333333333333333</v>
      </c>
      <c r="K239" s="58">
        <v>1.5</v>
      </c>
      <c r="L239" s="42"/>
      <c r="M239" s="31"/>
      <c r="N239" s="31"/>
      <c r="O239" s="43"/>
      <c r="P239" s="40"/>
      <c r="Q239" s="29"/>
      <c r="R239" s="29"/>
      <c r="S239" s="58"/>
      <c r="T239" s="54">
        <v>20</v>
      </c>
      <c r="U239" s="41"/>
      <c r="V239" s="62">
        <v>16.115555555555552</v>
      </c>
      <c r="W239" s="62">
        <v>14.964444444444442</v>
      </c>
      <c r="X239" s="62">
        <v>13.813333333333333</v>
      </c>
      <c r="Y239" s="62">
        <v>12.662222222222221</v>
      </c>
      <c r="Z239" s="514">
        <f>JRC_Data!$BL$18/1000*($U$290/$U$285)</f>
        <v>0.17266666666666663</v>
      </c>
      <c r="AA239" s="65"/>
      <c r="AB239" s="42"/>
      <c r="AC239" s="71"/>
      <c r="AD239" s="71"/>
      <c r="AE239" s="71"/>
      <c r="AF239" s="71"/>
      <c r="AG239" s="209"/>
      <c r="AH239" s="62">
        <v>0.94608000000000003</v>
      </c>
      <c r="AI239" s="65"/>
      <c r="AJ239" s="65">
        <v>2019</v>
      </c>
      <c r="AK239" s="522">
        <v>30</v>
      </c>
      <c r="AL239" s="4"/>
      <c r="AN239" s="205" t="str">
        <f t="shared" si="201"/>
        <v>R-SH_Det_ELC_HPN3-AB</v>
      </c>
      <c r="AO239" s="205" t="str">
        <f t="shared" si="201"/>
        <v>Residential Electric Heat Pump AB - Ground to Water - SH - AB rated dwelling</v>
      </c>
      <c r="AP239" s="100" t="s">
        <v>13</v>
      </c>
      <c r="AQ239" s="116" t="s">
        <v>119</v>
      </c>
      <c r="AR239" s="100" t="s">
        <v>684</v>
      </c>
      <c r="AT239" s="100" t="s">
        <v>75</v>
      </c>
    </row>
    <row r="240" spans="3:46" ht="15.75" thickBot="1" x14ac:dyDescent="0.3">
      <c r="C240" s="519" t="str">
        <f>"R-SH_Det"&amp;"_"&amp;RIGHT(E240,3)&amp;"_HPN3-ABG"</f>
        <v>R-SH_Det_ELC_HPN3-ABG</v>
      </c>
      <c r="D240" s="23" t="s">
        <v>757</v>
      </c>
      <c r="E240" s="24" t="s">
        <v>144</v>
      </c>
      <c r="F240" s="24" t="s">
        <v>539</v>
      </c>
      <c r="G240" s="57" t="s">
        <v>651</v>
      </c>
      <c r="H240" s="22">
        <v>1.0999999999999999</v>
      </c>
      <c r="I240" s="23">
        <v>1.1666666666666667</v>
      </c>
      <c r="J240" s="23">
        <v>1.3333333333333333</v>
      </c>
      <c r="K240" s="57">
        <v>1.5</v>
      </c>
      <c r="L240" s="44"/>
      <c r="M240" s="32"/>
      <c r="N240" s="32"/>
      <c r="O240" s="45"/>
      <c r="P240" s="22"/>
      <c r="Q240" s="23"/>
      <c r="R240" s="23"/>
      <c r="S240" s="57"/>
      <c r="T240" s="53">
        <v>20</v>
      </c>
      <c r="U240" s="25"/>
      <c r="V240" s="63">
        <v>16.115555555555552</v>
      </c>
      <c r="W240" s="63">
        <v>14.964444444444442</v>
      </c>
      <c r="X240" s="63">
        <v>13.813333333333333</v>
      </c>
      <c r="Y240" s="63">
        <v>12.662222222222221</v>
      </c>
      <c r="Z240" s="514">
        <f>JRC_Data!$BL$18/1000*($U$290/$U$285)</f>
        <v>0.17266666666666663</v>
      </c>
      <c r="AA240" s="66"/>
      <c r="AB240" s="44"/>
      <c r="AC240" s="72"/>
      <c r="AD240" s="72"/>
      <c r="AE240" s="72"/>
      <c r="AF240" s="72"/>
      <c r="AG240" s="66"/>
      <c r="AH240" s="63">
        <v>0.94608000000000003</v>
      </c>
      <c r="AI240" s="66"/>
      <c r="AJ240" s="66">
        <v>2019</v>
      </c>
      <c r="AK240" s="520">
        <v>30</v>
      </c>
      <c r="AL240" s="4"/>
      <c r="AN240" s="205" t="str">
        <f t="shared" ref="AN240:AO240" si="202">C236</f>
        <v>R-SH_Det_ELC_HPN3-ABC</v>
      </c>
      <c r="AO240" s="205" t="str">
        <f t="shared" si="202"/>
        <v>Residential Electric Heat Pump AB - Ground to Water - SH - C rated dwelling</v>
      </c>
      <c r="AP240" s="100" t="s">
        <v>13</v>
      </c>
      <c r="AQ240" s="116" t="s">
        <v>119</v>
      </c>
      <c r="AR240" s="100" t="s">
        <v>684</v>
      </c>
      <c r="AS240" s="4"/>
      <c r="AT240" s="100" t="s">
        <v>75</v>
      </c>
    </row>
    <row r="241" spans="3:46" ht="15.75" thickBot="1" x14ac:dyDescent="0.3">
      <c r="C241" s="521" t="str">
        <f>"R-SH_Det"&amp;"_"&amp;RIGHT(E241,3)&amp;"_HPN3-C"</f>
        <v>R-SH_Det_ELC_HPN3-C</v>
      </c>
      <c r="D241" s="29" t="s">
        <v>630</v>
      </c>
      <c r="E241" s="30" t="s">
        <v>144</v>
      </c>
      <c r="F241" s="30" t="s">
        <v>539</v>
      </c>
      <c r="G241" s="58" t="s">
        <v>648</v>
      </c>
      <c r="H241" s="40">
        <f>$H$235*AM320</f>
        <v>0.93813813813813796</v>
      </c>
      <c r="I241" s="29">
        <f>$I$235*AM320</f>
        <v>0.994994994994995</v>
      </c>
      <c r="J241" s="29">
        <f>$J$235*AM320</f>
        <v>1.137137137137137</v>
      </c>
      <c r="K241" s="58">
        <f>$K$235*AM320</f>
        <v>1.2792792792792793</v>
      </c>
      <c r="L241" s="42"/>
      <c r="M241" s="31"/>
      <c r="N241" s="31"/>
      <c r="O241" s="43"/>
      <c r="P241" s="40"/>
      <c r="Q241" s="29"/>
      <c r="R241" s="29"/>
      <c r="S241" s="58"/>
      <c r="T241" s="54">
        <v>20</v>
      </c>
      <c r="U241" s="41"/>
      <c r="V241" s="62">
        <f t="shared" ref="V241:Y245" si="203">V26/$V$20*$V$235</f>
        <v>16.990683005766524</v>
      </c>
      <c r="W241" s="62">
        <f t="shared" si="203"/>
        <v>16.990683005766524</v>
      </c>
      <c r="X241" s="62">
        <f t="shared" si="203"/>
        <v>15.379127450210968</v>
      </c>
      <c r="Y241" s="62">
        <f t="shared" si="203"/>
        <v>15.379127450210968</v>
      </c>
      <c r="Z241" s="514">
        <f>JRC_Data!$BL$18/1000*($U$290/$U$285)</f>
        <v>0.17266666666666663</v>
      </c>
      <c r="AA241" s="65"/>
      <c r="AB241" s="42"/>
      <c r="AC241" s="71"/>
      <c r="AD241" s="71"/>
      <c r="AE241" s="71"/>
      <c r="AF241" s="71"/>
      <c r="AG241" s="209"/>
      <c r="AH241" s="62">
        <f t="shared" si="149"/>
        <v>0.94608000000000003</v>
      </c>
      <c r="AI241" s="65"/>
      <c r="AJ241" s="24">
        <f>IF($A$2="No",2100,2019)</f>
        <v>2100</v>
      </c>
      <c r="AK241" s="522">
        <v>30</v>
      </c>
      <c r="AL241" s="4"/>
      <c r="AN241" s="205" t="str">
        <f t="shared" ref="AN241:AO241" si="204">C237</f>
        <v>R-SH_Det_ELC_HPN3-ABD</v>
      </c>
      <c r="AO241" s="205" t="str">
        <f t="shared" si="204"/>
        <v>Residential Electric Heat Pump AB - Ground to Water - SH - D rated dwelling</v>
      </c>
      <c r="AP241" s="100" t="s">
        <v>13</v>
      </c>
      <c r="AQ241" s="116" t="s">
        <v>119</v>
      </c>
      <c r="AR241" s="100" t="s">
        <v>684</v>
      </c>
      <c r="AS241" s="4"/>
      <c r="AT241" s="100" t="s">
        <v>75</v>
      </c>
    </row>
    <row r="242" spans="3:46" ht="15.75" thickBot="1" x14ac:dyDescent="0.3">
      <c r="C242" s="519" t="str">
        <f>"R-SH_Det"&amp;"_"&amp;RIGHT(E242,3)&amp;"_HPN3-D"</f>
        <v>R-SH_Det_ELC_HPN3-D</v>
      </c>
      <c r="D242" s="23" t="s">
        <v>631</v>
      </c>
      <c r="E242" s="24" t="s">
        <v>144</v>
      </c>
      <c r="F242" s="24" t="s">
        <v>539</v>
      </c>
      <c r="G242" s="57" t="s">
        <v>649</v>
      </c>
      <c r="H242" s="22">
        <f>$H$235*AM321</f>
        <v>0.89767267267267248</v>
      </c>
      <c r="I242" s="23">
        <f>$I$235*AM321</f>
        <v>0.95207707707707712</v>
      </c>
      <c r="J242" s="23">
        <f>$J$235*AM321</f>
        <v>1.0880880880880879</v>
      </c>
      <c r="K242" s="57">
        <f>$K$235*AM321</f>
        <v>1.224099099099099</v>
      </c>
      <c r="L242" s="44"/>
      <c r="M242" s="32"/>
      <c r="N242" s="32"/>
      <c r="O242" s="45"/>
      <c r="P242" s="22"/>
      <c r="Q242" s="23"/>
      <c r="R242" s="23"/>
      <c r="S242" s="57"/>
      <c r="T242" s="53">
        <v>20</v>
      </c>
      <c r="U242" s="25"/>
      <c r="V242" s="63">
        <f t="shared" si="203"/>
        <v>17.865810455977496</v>
      </c>
      <c r="W242" s="63">
        <f t="shared" si="203"/>
        <v>17.865810455977496</v>
      </c>
      <c r="X242" s="63">
        <f t="shared" si="203"/>
        <v>16.254254900421937</v>
      </c>
      <c r="Y242" s="63">
        <f t="shared" si="203"/>
        <v>16.254254900421937</v>
      </c>
      <c r="Z242" s="514">
        <f>JRC_Data!$BL$18/1000*($U$290/$U$285)</f>
        <v>0.17266666666666663</v>
      </c>
      <c r="AA242" s="66"/>
      <c r="AB242" s="44"/>
      <c r="AC242" s="72"/>
      <c r="AD242" s="72"/>
      <c r="AE242" s="72"/>
      <c r="AF242" s="72"/>
      <c r="AG242" s="66"/>
      <c r="AH242" s="63">
        <f t="shared" si="149"/>
        <v>0.94608000000000003</v>
      </c>
      <c r="AI242" s="66"/>
      <c r="AJ242" s="24">
        <f t="shared" ref="AJ242:AJ245" si="205">IF($A$2="No",2100,2019)</f>
        <v>2100</v>
      </c>
      <c r="AK242" s="520">
        <v>30</v>
      </c>
      <c r="AL242" s="4"/>
      <c r="AN242" s="205" t="str">
        <f t="shared" ref="AN242:AO242" si="206">C238</f>
        <v>R-SH_Det_ELC_HPN3-ABE</v>
      </c>
      <c r="AO242" s="205" t="str">
        <f t="shared" si="206"/>
        <v>Residential Electric Heat Pump AB - Ground to Water - SH -E rated dwelling</v>
      </c>
      <c r="AP242" s="100" t="s">
        <v>13</v>
      </c>
      <c r="AQ242" s="116" t="s">
        <v>119</v>
      </c>
      <c r="AR242" s="100" t="s">
        <v>684</v>
      </c>
      <c r="AS242" s="4"/>
      <c r="AT242" s="100" t="s">
        <v>75</v>
      </c>
    </row>
    <row r="243" spans="3:46" ht="15.75" thickBot="1" x14ac:dyDescent="0.3">
      <c r="C243" s="521" t="str">
        <f>"R-SH_Det"&amp;"_"&amp;RIGHT(E243,3)&amp;"_HPN3-E"</f>
        <v>R-SH_Det_ELC_HPN3-E</v>
      </c>
      <c r="D243" s="29" t="s">
        <v>632</v>
      </c>
      <c r="E243" s="30" t="s">
        <v>144</v>
      </c>
      <c r="F243" s="30" t="s">
        <v>539</v>
      </c>
      <c r="G243" s="58" t="s">
        <v>650</v>
      </c>
      <c r="H243" s="40">
        <f>$H$235*AM322</f>
        <v>0.857207207207207</v>
      </c>
      <c r="I243" s="29">
        <f>$I$235*AM322</f>
        <v>0.90915915915915912</v>
      </c>
      <c r="J243" s="29">
        <f>$J$235*AM322</f>
        <v>1.0390390390390389</v>
      </c>
      <c r="K243" s="58">
        <f>$K$235*AM322</f>
        <v>1.1689189189189189</v>
      </c>
      <c r="L243" s="42"/>
      <c r="M243" s="31"/>
      <c r="N243" s="31"/>
      <c r="O243" s="43"/>
      <c r="P243" s="40"/>
      <c r="Q243" s="29"/>
      <c r="R243" s="29"/>
      <c r="S243" s="58"/>
      <c r="T243" s="54">
        <v>20</v>
      </c>
      <c r="U243" s="41"/>
      <c r="V243" s="62">
        <f t="shared" si="203"/>
        <v>18.767456919831222</v>
      </c>
      <c r="W243" s="62">
        <f t="shared" si="203"/>
        <v>18.767456919831222</v>
      </c>
      <c r="X243" s="62">
        <f t="shared" si="203"/>
        <v>17.155901364275664</v>
      </c>
      <c r="Y243" s="62">
        <f t="shared" si="203"/>
        <v>17.155901364275664</v>
      </c>
      <c r="Z243" s="514">
        <f>JRC_Data!$BL$18/1000*($U$290/$U$285)</f>
        <v>0.17266666666666663</v>
      </c>
      <c r="AA243" s="65"/>
      <c r="AB243" s="42"/>
      <c r="AC243" s="71"/>
      <c r="AD243" s="71"/>
      <c r="AE243" s="71"/>
      <c r="AF243" s="71"/>
      <c r="AG243" s="209"/>
      <c r="AH243" s="62">
        <f t="shared" si="149"/>
        <v>0.94608000000000003</v>
      </c>
      <c r="AI243" s="65"/>
      <c r="AJ243" s="24">
        <f t="shared" si="205"/>
        <v>2100</v>
      </c>
      <c r="AK243" s="522">
        <v>30</v>
      </c>
      <c r="AL243" s="4"/>
      <c r="AM243" s="4"/>
      <c r="AN243" s="205" t="str">
        <f t="shared" ref="AN243:AO243" si="207">C239</f>
        <v>R-SH_Det_ELC_HPN3-ABF</v>
      </c>
      <c r="AO243" s="205" t="str">
        <f t="shared" si="207"/>
        <v>Residential Electric Heat Pump AB - Ground to Water - SH - Frated dwelling</v>
      </c>
      <c r="AP243" s="100" t="s">
        <v>13</v>
      </c>
      <c r="AQ243" s="116" t="s">
        <v>119</v>
      </c>
      <c r="AR243" s="100" t="s">
        <v>684</v>
      </c>
      <c r="AS243" s="4"/>
      <c r="AT243" s="100" t="s">
        <v>75</v>
      </c>
    </row>
    <row r="244" spans="3:46" ht="15.75" thickBot="1" x14ac:dyDescent="0.3">
      <c r="C244" s="519" t="str">
        <f>"R-SH_Det"&amp;"_"&amp;RIGHT(E244,3)&amp;"_HPN3-F"</f>
        <v>R-SH_Det_ELC_HPN3-F</v>
      </c>
      <c r="D244" s="23" t="s">
        <v>633</v>
      </c>
      <c r="E244" s="24" t="s">
        <v>144</v>
      </c>
      <c r="F244" s="24" t="s">
        <v>539</v>
      </c>
      <c r="G244" s="57" t="s">
        <v>652</v>
      </c>
      <c r="H244" s="22">
        <f>$H$235*AM323</f>
        <v>0.81674174174174152</v>
      </c>
      <c r="I244" s="23">
        <f>$I$235*AM323</f>
        <v>0.86624124124124113</v>
      </c>
      <c r="J244" s="23">
        <f>$J$235*AM323</f>
        <v>0.98998998998998977</v>
      </c>
      <c r="K244" s="57">
        <f>$K$235*AM323</f>
        <v>1.1137387387387385</v>
      </c>
      <c r="L244" s="44"/>
      <c r="M244" s="32"/>
      <c r="N244" s="32"/>
      <c r="O244" s="45"/>
      <c r="P244" s="22"/>
      <c r="Q244" s="23"/>
      <c r="R244" s="23"/>
      <c r="S244" s="57"/>
      <c r="T244" s="53">
        <v>20</v>
      </c>
      <c r="U244" s="25"/>
      <c r="V244" s="63">
        <f t="shared" si="203"/>
        <v>19.045310007032349</v>
      </c>
      <c r="W244" s="63">
        <f t="shared" si="203"/>
        <v>19.045310007032349</v>
      </c>
      <c r="X244" s="63">
        <f t="shared" si="203"/>
        <v>17.433754451476791</v>
      </c>
      <c r="Y244" s="63">
        <f t="shared" si="203"/>
        <v>17.433754451476791</v>
      </c>
      <c r="Z244" s="514">
        <f>JRC_Data!$BL$18/1000*($U$290/$U$285)</f>
        <v>0.17266666666666663</v>
      </c>
      <c r="AA244" s="66"/>
      <c r="AB244" s="44"/>
      <c r="AC244" s="72"/>
      <c r="AD244" s="72"/>
      <c r="AE244" s="72"/>
      <c r="AF244" s="72"/>
      <c r="AG244" s="66"/>
      <c r="AH244" s="63">
        <f t="shared" si="149"/>
        <v>0.94608000000000003</v>
      </c>
      <c r="AI244" s="66"/>
      <c r="AJ244" s="24">
        <f t="shared" si="205"/>
        <v>2100</v>
      </c>
      <c r="AK244" s="520">
        <v>30</v>
      </c>
      <c r="AL244" s="4"/>
      <c r="AM244" s="4"/>
      <c r="AN244" s="205" t="str">
        <f t="shared" ref="AN244:AO244" si="208">C240</f>
        <v>R-SH_Det_ELC_HPN3-ABG</v>
      </c>
      <c r="AO244" s="205" t="str">
        <f t="shared" si="208"/>
        <v>Residential Electric Heat Pump AB - Ground to Water - SH - G rated dwelling</v>
      </c>
      <c r="AP244" s="100" t="s">
        <v>13</v>
      </c>
      <c r="AQ244" s="116" t="s">
        <v>119</v>
      </c>
      <c r="AR244" s="100" t="s">
        <v>684</v>
      </c>
      <c r="AS244" s="4"/>
      <c r="AT244" s="100" t="s">
        <v>75</v>
      </c>
    </row>
    <row r="245" spans="3:46" ht="15.75" thickBot="1" x14ac:dyDescent="0.3">
      <c r="C245" s="546" t="str">
        <f>"R-SH_Det"&amp;"_"&amp;RIGHT(E245,3)&amp;"_HPN3-G"</f>
        <v>R-SH_Det_ELC_HPN3-G</v>
      </c>
      <c r="D245" s="548" t="s">
        <v>634</v>
      </c>
      <c r="E245" s="547" t="s">
        <v>144</v>
      </c>
      <c r="F245" s="547" t="s">
        <v>539</v>
      </c>
      <c r="G245" s="582" t="s">
        <v>651</v>
      </c>
      <c r="H245" s="583">
        <f>$H$235*AM324</f>
        <v>0.77627627627627616</v>
      </c>
      <c r="I245" s="548">
        <f>$I$235*AM324</f>
        <v>0.82332332332332336</v>
      </c>
      <c r="J245" s="548">
        <f>$J$235*AM324</f>
        <v>0.94094094094094083</v>
      </c>
      <c r="K245" s="582">
        <f>$K$235*AM324</f>
        <v>1.0585585585585586</v>
      </c>
      <c r="L245" s="584"/>
      <c r="M245" s="550"/>
      <c r="N245" s="550"/>
      <c r="O245" s="585"/>
      <c r="P245" s="583"/>
      <c r="Q245" s="548"/>
      <c r="R245" s="548"/>
      <c r="S245" s="582"/>
      <c r="T245" s="586">
        <v>20</v>
      </c>
      <c r="U245" s="587"/>
      <c r="V245" s="588">
        <f t="shared" si="203"/>
        <v>19.323163094233472</v>
      </c>
      <c r="W245" s="588">
        <f t="shared" si="203"/>
        <v>19.323163094233472</v>
      </c>
      <c r="X245" s="588">
        <f t="shared" si="203"/>
        <v>17.711607538677917</v>
      </c>
      <c r="Y245" s="588">
        <f t="shared" si="203"/>
        <v>17.711607538677917</v>
      </c>
      <c r="Z245" s="514">
        <f>JRC_Data!$BL$18/1000*($U$290/$U$285)</f>
        <v>0.17266666666666663</v>
      </c>
      <c r="AA245" s="589"/>
      <c r="AB245" s="584"/>
      <c r="AC245" s="590"/>
      <c r="AD245" s="590"/>
      <c r="AE245" s="590"/>
      <c r="AF245" s="590"/>
      <c r="AG245" s="591"/>
      <c r="AH245" s="588">
        <f t="shared" si="149"/>
        <v>0.94608000000000003</v>
      </c>
      <c r="AI245" s="589"/>
      <c r="AJ245" s="24">
        <f t="shared" si="205"/>
        <v>2100</v>
      </c>
      <c r="AK245" s="592">
        <v>30</v>
      </c>
      <c r="AL245" s="4"/>
      <c r="AM245" s="4"/>
      <c r="AN245" s="205" t="str">
        <f t="shared" ref="AN245:AO250" si="209">C241</f>
        <v>R-SH_Det_ELC_HPN3-C</v>
      </c>
      <c r="AO245" s="205" t="str">
        <f t="shared" si="209"/>
        <v>Residential Electric Heat Pump - Ground to Water - SH - C rated dwelling</v>
      </c>
      <c r="AP245" s="100" t="s">
        <v>13</v>
      </c>
      <c r="AQ245" s="116" t="s">
        <v>119</v>
      </c>
      <c r="AR245" s="100" t="s">
        <v>684</v>
      </c>
      <c r="AT245" s="100" t="s">
        <v>75</v>
      </c>
    </row>
    <row r="246" spans="3:46" ht="15.75" thickBot="1" x14ac:dyDescent="0.3">
      <c r="C246" s="554" t="str">
        <f>"R-HC_Det"&amp;"_"&amp;RIGHT(E246,3)&amp;"_HPN2-AB"</f>
        <v>R-HC_Det_ELC_HPN2-AB</v>
      </c>
      <c r="D246" s="556" t="s">
        <v>776</v>
      </c>
      <c r="E246" s="555" t="s">
        <v>144</v>
      </c>
      <c r="F246" s="555" t="s">
        <v>796</v>
      </c>
      <c r="G246" s="593" t="s">
        <v>786</v>
      </c>
      <c r="H246" s="594">
        <v>1.0999999999999999</v>
      </c>
      <c r="I246" s="556">
        <v>1.1666666666666667</v>
      </c>
      <c r="J246" s="556">
        <v>1.3333333333333333</v>
      </c>
      <c r="K246" s="593">
        <v>1.5</v>
      </c>
      <c r="L246" s="595">
        <f>H246*0.9</f>
        <v>0.98999999999999988</v>
      </c>
      <c r="M246" s="558">
        <f t="shared" ref="M246:O256" si="210">I246*0.9</f>
        <v>1.05</v>
      </c>
      <c r="N246" s="558">
        <f t="shared" si="210"/>
        <v>1.2</v>
      </c>
      <c r="O246" s="596">
        <f t="shared" si="210"/>
        <v>1.35</v>
      </c>
      <c r="P246" s="594"/>
      <c r="Q246" s="556"/>
      <c r="R246" s="556"/>
      <c r="S246" s="593"/>
      <c r="T246" s="597">
        <v>20</v>
      </c>
      <c r="U246" s="598"/>
      <c r="V246" s="599">
        <f>(JRC_Data!BB20/1000)*($U$291/$U$285)</f>
        <v>17.391111111111108</v>
      </c>
      <c r="W246" s="599">
        <f>(JRC_Data!BC20/1000)*($U$291/$U$285)</f>
        <v>16.148888888888887</v>
      </c>
      <c r="X246" s="599">
        <f>(JRC_Data!BD20/1000)*($U$291/$U$285)</f>
        <v>14.906666666666666</v>
      </c>
      <c r="Y246" s="599">
        <f>(JRC_Data!BE20/1000)*($U$291/$U$285)</f>
        <v>13.664444444444444</v>
      </c>
      <c r="Z246" s="514">
        <f>JRC_Data!$BL$18/1000*($U$291/$U$285)</f>
        <v>0.18633333333333332</v>
      </c>
      <c r="AA246" s="600"/>
      <c r="AB246" s="595"/>
      <c r="AC246" s="601"/>
      <c r="AD246" s="601"/>
      <c r="AE246" s="601"/>
      <c r="AF246" s="601"/>
      <c r="AG246" s="600"/>
      <c r="AH246" s="599">
        <f>31.536*(AK246/1000)</f>
        <v>1.1983680000000001</v>
      </c>
      <c r="AI246" s="600"/>
      <c r="AJ246" s="600">
        <v>2019</v>
      </c>
      <c r="AK246" s="602">
        <v>38</v>
      </c>
      <c r="AL246" s="4"/>
      <c r="AM246" s="4"/>
      <c r="AN246" s="205" t="str">
        <f t="shared" si="209"/>
        <v>R-SH_Det_ELC_HPN3-D</v>
      </c>
      <c r="AO246" s="205" t="str">
        <f t="shared" si="209"/>
        <v>Residential Electric Heat Pump - Ground to Water - SH - D rated dwelling</v>
      </c>
      <c r="AP246" s="100" t="s">
        <v>13</v>
      </c>
      <c r="AQ246" s="116" t="s">
        <v>119</v>
      </c>
      <c r="AR246" s="100" t="s">
        <v>684</v>
      </c>
      <c r="AT246" s="100" t="s">
        <v>75</v>
      </c>
    </row>
    <row r="247" spans="3:46" ht="15.75" thickBot="1" x14ac:dyDescent="0.3">
      <c r="C247" s="521" t="str">
        <f>"R-HC_Det"&amp;"_"&amp;RIGHT(E247,3)&amp;"_HPN2-ABC"</f>
        <v>R-HC_Det_ELC_HPN2-ABC</v>
      </c>
      <c r="D247" s="29" t="s">
        <v>787</v>
      </c>
      <c r="E247" s="30" t="s">
        <v>144</v>
      </c>
      <c r="F247" s="30" t="s">
        <v>796</v>
      </c>
      <c r="G247" s="58" t="s">
        <v>737</v>
      </c>
      <c r="H247" s="40">
        <v>1.0999999999999999</v>
      </c>
      <c r="I247" s="29">
        <v>1.1666666666666667</v>
      </c>
      <c r="J247" s="29">
        <v>1.3333333333333333</v>
      </c>
      <c r="K247" s="58">
        <v>1.5</v>
      </c>
      <c r="L247" s="42">
        <v>0.98999999999999988</v>
      </c>
      <c r="M247" s="31">
        <v>1.05</v>
      </c>
      <c r="N247" s="31">
        <v>1.2</v>
      </c>
      <c r="O247" s="43">
        <v>1.35</v>
      </c>
      <c r="P247" s="40"/>
      <c r="Q247" s="29"/>
      <c r="R247" s="29"/>
      <c r="S247" s="58"/>
      <c r="T247" s="54">
        <v>20</v>
      </c>
      <c r="U247" s="41"/>
      <c r="V247" s="62">
        <v>17.391111111111108</v>
      </c>
      <c r="W247" s="62">
        <v>16.148888888888887</v>
      </c>
      <c r="X247" s="62">
        <v>14.906666666666666</v>
      </c>
      <c r="Y247" s="62">
        <v>13.664444444444444</v>
      </c>
      <c r="Z247" s="514">
        <f>JRC_Data!$BL$18/1000*($U$291/$U$285)</f>
        <v>0.18633333333333332</v>
      </c>
      <c r="AA247" s="65"/>
      <c r="AB247" s="42"/>
      <c r="AC247" s="71"/>
      <c r="AD247" s="71"/>
      <c r="AE247" s="71"/>
      <c r="AF247" s="71"/>
      <c r="AG247" s="209"/>
      <c r="AH247" s="62">
        <v>1.1983680000000001</v>
      </c>
      <c r="AI247" s="65"/>
      <c r="AJ247" s="65">
        <v>2019</v>
      </c>
      <c r="AK247" s="522">
        <v>38</v>
      </c>
      <c r="AL247" s="4"/>
      <c r="AM247" s="4"/>
      <c r="AN247" s="205" t="str">
        <f t="shared" si="209"/>
        <v>R-SH_Det_ELC_HPN3-E</v>
      </c>
      <c r="AO247" s="205" t="str">
        <f t="shared" si="209"/>
        <v>Residential Electric Heat Pump - Ground to Water - SH - E rated dwelling</v>
      </c>
      <c r="AP247" s="100" t="s">
        <v>13</v>
      </c>
      <c r="AQ247" s="116" t="s">
        <v>119</v>
      </c>
      <c r="AR247" s="100" t="s">
        <v>684</v>
      </c>
      <c r="AT247" s="100" t="s">
        <v>75</v>
      </c>
    </row>
    <row r="248" spans="3:46" ht="15.75" thickBot="1" x14ac:dyDescent="0.3">
      <c r="C248" s="519" t="str">
        <f>"R-HC_Det"&amp;"_"&amp;RIGHT(E248,3)&amp;"_HPN2-ABD"</f>
        <v>R-HC_Det_ELC_HPN2-ABD</v>
      </c>
      <c r="D248" s="23" t="s">
        <v>778</v>
      </c>
      <c r="E248" s="24" t="s">
        <v>144</v>
      </c>
      <c r="F248" s="24" t="s">
        <v>796</v>
      </c>
      <c r="G248" s="57" t="s">
        <v>738</v>
      </c>
      <c r="H248" s="22">
        <v>1.0999999999999999</v>
      </c>
      <c r="I248" s="23">
        <v>1.1666666666666667</v>
      </c>
      <c r="J248" s="23">
        <v>1.3333333333333333</v>
      </c>
      <c r="K248" s="57">
        <v>1.5</v>
      </c>
      <c r="L248" s="44">
        <v>0.98999999999999988</v>
      </c>
      <c r="M248" s="32">
        <v>1.05</v>
      </c>
      <c r="N248" s="32">
        <v>1.2</v>
      </c>
      <c r="O248" s="45">
        <v>1.35</v>
      </c>
      <c r="P248" s="22"/>
      <c r="Q248" s="23"/>
      <c r="R248" s="23"/>
      <c r="S248" s="57"/>
      <c r="T248" s="53">
        <v>20</v>
      </c>
      <c r="U248" s="25"/>
      <c r="V248" s="63">
        <v>17.391111111111108</v>
      </c>
      <c r="W248" s="63">
        <v>16.148888888888887</v>
      </c>
      <c r="X248" s="63">
        <v>14.906666666666666</v>
      </c>
      <c r="Y248" s="63">
        <v>13.664444444444444</v>
      </c>
      <c r="Z248" s="514">
        <f>JRC_Data!$BL$18/1000*($U$291/$U$285)</f>
        <v>0.18633333333333332</v>
      </c>
      <c r="AA248" s="66"/>
      <c r="AB248" s="44"/>
      <c r="AC248" s="72"/>
      <c r="AD248" s="72"/>
      <c r="AE248" s="72"/>
      <c r="AF248" s="72"/>
      <c r="AG248" s="66"/>
      <c r="AH248" s="63">
        <v>1.1983680000000001</v>
      </c>
      <c r="AI248" s="66"/>
      <c r="AJ248" s="66">
        <v>2019</v>
      </c>
      <c r="AK248" s="520">
        <v>38</v>
      </c>
      <c r="AL248" s="4"/>
      <c r="AM248" s="4"/>
      <c r="AN248" s="205" t="str">
        <f t="shared" si="209"/>
        <v>R-SH_Det_ELC_HPN3-F</v>
      </c>
      <c r="AO248" s="205" t="str">
        <f t="shared" si="209"/>
        <v>Residential Electric Heat Pump - Ground to Water - SH - F rated dwelling</v>
      </c>
      <c r="AP248" s="100" t="s">
        <v>13</v>
      </c>
      <c r="AQ248" s="116" t="s">
        <v>119</v>
      </c>
      <c r="AR248" s="100" t="s">
        <v>684</v>
      </c>
      <c r="AT248" s="100" t="s">
        <v>75</v>
      </c>
    </row>
    <row r="249" spans="3:46" ht="15.75" thickBot="1" x14ac:dyDescent="0.3">
      <c r="C249" s="521" t="str">
        <f>"R-HC_Det"&amp;"_"&amp;RIGHT(E249,3)&amp;"_HPN2-ABE"</f>
        <v>R-HC_Det_ELC_HPN2-ABE</v>
      </c>
      <c r="D249" s="29" t="s">
        <v>788</v>
      </c>
      <c r="E249" s="30" t="s">
        <v>144</v>
      </c>
      <c r="F249" s="30" t="s">
        <v>796</v>
      </c>
      <c r="G249" s="58" t="s">
        <v>739</v>
      </c>
      <c r="H249" s="40">
        <v>1.0999999999999999</v>
      </c>
      <c r="I249" s="29">
        <v>1.1666666666666667</v>
      </c>
      <c r="J249" s="29">
        <v>1.3333333333333333</v>
      </c>
      <c r="K249" s="58">
        <v>1.5</v>
      </c>
      <c r="L249" s="42">
        <v>0.98999999999999988</v>
      </c>
      <c r="M249" s="31">
        <v>1.05</v>
      </c>
      <c r="N249" s="31">
        <v>1.2</v>
      </c>
      <c r="O249" s="43">
        <v>1.35</v>
      </c>
      <c r="P249" s="40"/>
      <c r="Q249" s="29"/>
      <c r="R249" s="29"/>
      <c r="S249" s="58"/>
      <c r="T249" s="54">
        <v>20</v>
      </c>
      <c r="U249" s="41"/>
      <c r="V249" s="62">
        <v>17.391111111111108</v>
      </c>
      <c r="W249" s="62">
        <v>16.148888888888887</v>
      </c>
      <c r="X249" s="62">
        <v>14.906666666666666</v>
      </c>
      <c r="Y249" s="62">
        <v>13.664444444444444</v>
      </c>
      <c r="Z249" s="514">
        <f>JRC_Data!$BL$18/1000*($U$291/$U$285)</f>
        <v>0.18633333333333332</v>
      </c>
      <c r="AA249" s="65"/>
      <c r="AB249" s="42"/>
      <c r="AC249" s="71"/>
      <c r="AD249" s="71"/>
      <c r="AE249" s="71"/>
      <c r="AF249" s="71"/>
      <c r="AG249" s="209"/>
      <c r="AH249" s="62">
        <v>1.1983680000000001</v>
      </c>
      <c r="AI249" s="65"/>
      <c r="AJ249" s="65">
        <v>2019</v>
      </c>
      <c r="AK249" s="522">
        <v>38</v>
      </c>
      <c r="AL249" s="4"/>
      <c r="AM249" s="4"/>
      <c r="AN249" s="205" t="str">
        <f t="shared" si="209"/>
        <v>R-SH_Det_ELC_HPN3-G</v>
      </c>
      <c r="AO249" s="205" t="str">
        <f t="shared" si="209"/>
        <v>Residential Electric Heat Pump - Ground to Water - SH - G rated dwelling</v>
      </c>
      <c r="AP249" s="100" t="s">
        <v>13</v>
      </c>
      <c r="AQ249" s="116" t="s">
        <v>119</v>
      </c>
      <c r="AR249" s="100" t="s">
        <v>684</v>
      </c>
      <c r="AT249" s="100" t="s">
        <v>75</v>
      </c>
    </row>
    <row r="250" spans="3:46" ht="15.75" thickBot="1" x14ac:dyDescent="0.3">
      <c r="C250" s="519" t="str">
        <f>"R-HC_Det"&amp;"_"&amp;RIGHT(E250,3)&amp;"_HPN2-ABF"</f>
        <v>R-HC_Det_ELC_HPN2-ABF</v>
      </c>
      <c r="D250" s="23" t="s">
        <v>780</v>
      </c>
      <c r="E250" s="24" t="s">
        <v>144</v>
      </c>
      <c r="F250" s="24" t="s">
        <v>796</v>
      </c>
      <c r="G250" s="57" t="s">
        <v>740</v>
      </c>
      <c r="H250" s="22">
        <v>1.0999999999999999</v>
      </c>
      <c r="I250" s="23">
        <v>1.1666666666666667</v>
      </c>
      <c r="J250" s="23">
        <v>1.3333333333333333</v>
      </c>
      <c r="K250" s="57">
        <v>1.5</v>
      </c>
      <c r="L250" s="44">
        <v>0.98999999999999988</v>
      </c>
      <c r="M250" s="32">
        <v>1.05</v>
      </c>
      <c r="N250" s="32">
        <v>1.2</v>
      </c>
      <c r="O250" s="45">
        <v>1.35</v>
      </c>
      <c r="P250" s="22"/>
      <c r="Q250" s="23"/>
      <c r="R250" s="23"/>
      <c r="S250" s="57"/>
      <c r="T250" s="53">
        <v>20</v>
      </c>
      <c r="U250" s="25"/>
      <c r="V250" s="63">
        <v>17.391111111111108</v>
      </c>
      <c r="W250" s="63">
        <v>16.148888888888887</v>
      </c>
      <c r="X250" s="63">
        <v>14.906666666666666</v>
      </c>
      <c r="Y250" s="63">
        <v>13.664444444444444</v>
      </c>
      <c r="Z250" s="514">
        <f>JRC_Data!$BL$18/1000*($U$291/$U$285)</f>
        <v>0.18633333333333332</v>
      </c>
      <c r="AA250" s="66"/>
      <c r="AB250" s="44"/>
      <c r="AC250" s="72"/>
      <c r="AD250" s="72"/>
      <c r="AE250" s="72"/>
      <c r="AF250" s="72"/>
      <c r="AG250" s="66"/>
      <c r="AH250" s="63">
        <v>1.1983680000000001</v>
      </c>
      <c r="AI250" s="66"/>
      <c r="AJ250" s="66">
        <v>2019</v>
      </c>
      <c r="AK250" s="520">
        <v>38</v>
      </c>
      <c r="AL250" s="4"/>
      <c r="AM250" s="4"/>
      <c r="AN250" s="205" t="str">
        <f t="shared" si="209"/>
        <v>R-HC_Det_ELC_HPN2-AB</v>
      </c>
      <c r="AO250" s="205" t="str">
        <f t="shared" si="209"/>
        <v>Residential Electric Heat Pump AB - Ground to Water - SH + SC - AB rated dwelling</v>
      </c>
      <c r="AP250" s="100" t="s">
        <v>13</v>
      </c>
      <c r="AQ250" s="116" t="s">
        <v>119</v>
      </c>
      <c r="AR250" s="100" t="s">
        <v>684</v>
      </c>
      <c r="AT250" s="100" t="s">
        <v>75</v>
      </c>
    </row>
    <row r="251" spans="3:46" ht="15.75" thickBot="1" x14ac:dyDescent="0.3">
      <c r="C251" s="521" t="str">
        <f>"R-HC_Det"&amp;"_"&amp;RIGHT(E251,3)&amp;"_HPN2-ABG"</f>
        <v>R-HC_Det_ELC_HPN2-ABG</v>
      </c>
      <c r="D251" s="29" t="s">
        <v>789</v>
      </c>
      <c r="E251" s="30" t="s">
        <v>144</v>
      </c>
      <c r="F251" s="112" t="s">
        <v>796</v>
      </c>
      <c r="G251" s="58" t="s">
        <v>741</v>
      </c>
      <c r="H251" s="40">
        <v>1.0999999999999999</v>
      </c>
      <c r="I251" s="29">
        <v>1.1666666666666667</v>
      </c>
      <c r="J251" s="29">
        <v>1.3333333333333333</v>
      </c>
      <c r="K251" s="58">
        <v>1.5</v>
      </c>
      <c r="L251" s="42">
        <v>0.98999999999999988</v>
      </c>
      <c r="M251" s="31">
        <v>1.05</v>
      </c>
      <c r="N251" s="31">
        <v>1.2</v>
      </c>
      <c r="O251" s="43">
        <v>1.35</v>
      </c>
      <c r="P251" s="40"/>
      <c r="Q251" s="29"/>
      <c r="R251" s="29"/>
      <c r="S251" s="58"/>
      <c r="T251" s="54">
        <v>20</v>
      </c>
      <c r="U251" s="41"/>
      <c r="V251" s="62">
        <v>17.391111111111108</v>
      </c>
      <c r="W251" s="62">
        <v>16.148888888888887</v>
      </c>
      <c r="X251" s="62">
        <v>14.906666666666666</v>
      </c>
      <c r="Y251" s="62">
        <v>13.664444444444444</v>
      </c>
      <c r="Z251" s="514">
        <f>JRC_Data!$BL$18/1000*($U$291/$U$285)</f>
        <v>0.18633333333333332</v>
      </c>
      <c r="AA251" s="65"/>
      <c r="AB251" s="42"/>
      <c r="AC251" s="71"/>
      <c r="AD251" s="71"/>
      <c r="AE251" s="71"/>
      <c r="AF251" s="71"/>
      <c r="AG251" s="209"/>
      <c r="AH251" s="62">
        <v>1.1983680000000001</v>
      </c>
      <c r="AI251" s="65"/>
      <c r="AJ251" s="65">
        <v>2019</v>
      </c>
      <c r="AK251" s="522">
        <v>38</v>
      </c>
      <c r="AL251" s="4"/>
      <c r="AM251" s="4"/>
      <c r="AN251" s="205" t="str">
        <f t="shared" ref="AN251:AO251" si="211">C247</f>
        <v>R-HC_Det_ELC_HPN2-ABC</v>
      </c>
      <c r="AO251" s="205" t="str">
        <f t="shared" si="211"/>
        <v>Residential Electric Heat Pump AB - Ground to Water - SH + SC - C rated dwelling</v>
      </c>
      <c r="AP251" s="100" t="s">
        <v>13</v>
      </c>
      <c r="AQ251" s="116" t="s">
        <v>119</v>
      </c>
      <c r="AR251" s="100" t="s">
        <v>684</v>
      </c>
      <c r="AS251" s="4"/>
      <c r="AT251" s="100" t="s">
        <v>75</v>
      </c>
    </row>
    <row r="252" spans="3:46" ht="15.75" thickBot="1" x14ac:dyDescent="0.3">
      <c r="C252" s="519" t="str">
        <f>"R-HC_Det"&amp;"_"&amp;RIGHT(E252,3)&amp;"_HPN2-C"</f>
        <v>R-HC_Det_ELC_HPN2-C</v>
      </c>
      <c r="D252" s="23" t="s">
        <v>636</v>
      </c>
      <c r="E252" s="24" t="s">
        <v>144</v>
      </c>
      <c r="F252" s="555" t="s">
        <v>796</v>
      </c>
      <c r="G252" s="57" t="s">
        <v>737</v>
      </c>
      <c r="H252" s="22">
        <f t="shared" ref="H252:K256" si="212">H241</f>
        <v>0.93813813813813796</v>
      </c>
      <c r="I252" s="23">
        <f t="shared" si="212"/>
        <v>0.994994994994995</v>
      </c>
      <c r="J252" s="23">
        <f t="shared" si="212"/>
        <v>1.137137137137137</v>
      </c>
      <c r="K252" s="57">
        <f t="shared" si="212"/>
        <v>1.2792792792792793</v>
      </c>
      <c r="L252" s="44">
        <f t="shared" ref="L252:L256" si="213">H252*0.9</f>
        <v>0.84432432432432414</v>
      </c>
      <c r="M252" s="32">
        <f t="shared" si="210"/>
        <v>0.89549549549549556</v>
      </c>
      <c r="N252" s="32">
        <f t="shared" si="210"/>
        <v>1.0234234234234234</v>
      </c>
      <c r="O252" s="45">
        <f t="shared" si="210"/>
        <v>1.1513513513513514</v>
      </c>
      <c r="P252" s="22"/>
      <c r="Q252" s="23"/>
      <c r="R252" s="23"/>
      <c r="S252" s="57"/>
      <c r="T252" s="53">
        <v>20</v>
      </c>
      <c r="U252" s="25"/>
      <c r="V252" s="63">
        <f t="shared" ref="V252:Y256" si="214">V26/$V$20*$V$246</f>
        <v>18.335505405836848</v>
      </c>
      <c r="W252" s="63">
        <f t="shared" si="214"/>
        <v>18.335505405836848</v>
      </c>
      <c r="X252" s="63">
        <f t="shared" si="214"/>
        <v>16.596394294725737</v>
      </c>
      <c r="Y252" s="63">
        <f t="shared" si="214"/>
        <v>16.596394294725737</v>
      </c>
      <c r="Z252" s="514">
        <f>JRC_Data!$BL$18/1000*($U$291/$U$285)</f>
        <v>0.18633333333333332</v>
      </c>
      <c r="AA252" s="66"/>
      <c r="AB252" s="44"/>
      <c r="AC252" s="72"/>
      <c r="AD252" s="72"/>
      <c r="AE252" s="72"/>
      <c r="AF252" s="72"/>
      <c r="AG252" s="66"/>
      <c r="AH252" s="63">
        <f t="shared" ref="AH252:AH256" si="215">31.536*(AK252/1000)</f>
        <v>1.1983680000000001</v>
      </c>
      <c r="AI252" s="66"/>
      <c r="AJ252" s="24">
        <f>IF($A$2="No",2100,2019)</f>
        <v>2100</v>
      </c>
      <c r="AK252" s="520">
        <v>38</v>
      </c>
      <c r="AL252" s="4"/>
      <c r="AM252" s="4"/>
      <c r="AN252" s="205" t="str">
        <f t="shared" ref="AN252:AO252" si="216">C248</f>
        <v>R-HC_Det_ELC_HPN2-ABD</v>
      </c>
      <c r="AO252" s="205" t="str">
        <f t="shared" si="216"/>
        <v>Residential Electric Heat Pump AB - Ground to Water - SH + SC - D rated dwelling</v>
      </c>
      <c r="AP252" s="100" t="s">
        <v>13</v>
      </c>
      <c r="AQ252" s="116" t="s">
        <v>119</v>
      </c>
      <c r="AR252" s="100" t="s">
        <v>684</v>
      </c>
      <c r="AS252" s="4"/>
      <c r="AT252" s="100" t="s">
        <v>75</v>
      </c>
    </row>
    <row r="253" spans="3:46" ht="15.75" thickBot="1" x14ac:dyDescent="0.3">
      <c r="C253" s="521" t="str">
        <f>"R-HC_Det"&amp;"_"&amp;RIGHT(E253,3)&amp;"_HPN2-D"</f>
        <v>R-HC_Det_ELC_HPN2-D</v>
      </c>
      <c r="D253" s="29" t="s">
        <v>637</v>
      </c>
      <c r="E253" s="30" t="s">
        <v>144</v>
      </c>
      <c r="F253" s="30" t="s">
        <v>796</v>
      </c>
      <c r="G253" s="58" t="s">
        <v>738</v>
      </c>
      <c r="H253" s="40">
        <f t="shared" si="212"/>
        <v>0.89767267267267248</v>
      </c>
      <c r="I253" s="29">
        <f t="shared" si="212"/>
        <v>0.95207707707707712</v>
      </c>
      <c r="J253" s="29">
        <f t="shared" si="212"/>
        <v>1.0880880880880879</v>
      </c>
      <c r="K253" s="58">
        <f t="shared" si="212"/>
        <v>1.224099099099099</v>
      </c>
      <c r="L253" s="42">
        <f t="shared" si="213"/>
        <v>0.80790540540540523</v>
      </c>
      <c r="M253" s="31">
        <f t="shared" si="210"/>
        <v>0.85686936936936942</v>
      </c>
      <c r="N253" s="31">
        <f t="shared" si="210"/>
        <v>0.97927927927927916</v>
      </c>
      <c r="O253" s="43">
        <f t="shared" si="210"/>
        <v>1.1016891891891891</v>
      </c>
      <c r="P253" s="40"/>
      <c r="Q253" s="29"/>
      <c r="R253" s="29"/>
      <c r="S253" s="58"/>
      <c r="T253" s="54">
        <v>20</v>
      </c>
      <c r="U253" s="41"/>
      <c r="V253" s="62">
        <f t="shared" si="214"/>
        <v>19.279899700562588</v>
      </c>
      <c r="W253" s="62">
        <f t="shared" si="214"/>
        <v>19.279899700562588</v>
      </c>
      <c r="X253" s="62">
        <f t="shared" si="214"/>
        <v>17.540788589451473</v>
      </c>
      <c r="Y253" s="62">
        <f t="shared" si="214"/>
        <v>17.540788589451473</v>
      </c>
      <c r="Z253" s="514">
        <f>JRC_Data!$BL$18/1000*($U$291/$U$285)</f>
        <v>0.18633333333333332</v>
      </c>
      <c r="AA253" s="65"/>
      <c r="AB253" s="42"/>
      <c r="AC253" s="71"/>
      <c r="AD253" s="71"/>
      <c r="AE253" s="71"/>
      <c r="AF253" s="71"/>
      <c r="AG253" s="209"/>
      <c r="AH253" s="62">
        <f t="shared" si="215"/>
        <v>1.1983680000000001</v>
      </c>
      <c r="AI253" s="65"/>
      <c r="AJ253" s="24">
        <f t="shared" ref="AJ253:AJ256" si="217">IF($A$2="No",2100,2019)</f>
        <v>2100</v>
      </c>
      <c r="AK253" s="522">
        <v>38</v>
      </c>
      <c r="AL253" s="4"/>
      <c r="AM253" s="4"/>
      <c r="AN253" s="205" t="str">
        <f t="shared" ref="AN253:AO253" si="218">C249</f>
        <v>R-HC_Det_ELC_HPN2-ABE</v>
      </c>
      <c r="AO253" s="205" t="str">
        <f t="shared" si="218"/>
        <v>Residential Electric Heat Pump AB - Ground to Water - SH + SC -E rated dwelling</v>
      </c>
      <c r="AP253" s="100" t="s">
        <v>13</v>
      </c>
      <c r="AQ253" s="116" t="s">
        <v>119</v>
      </c>
      <c r="AR253" s="100" t="s">
        <v>684</v>
      </c>
      <c r="AS253" s="4"/>
      <c r="AT253" s="100" t="s">
        <v>75</v>
      </c>
    </row>
    <row r="254" spans="3:46" ht="15.75" thickBot="1" x14ac:dyDescent="0.3">
      <c r="C254" s="519" t="str">
        <f>"R-HC_Det"&amp;"_"&amp;RIGHT(E254,3)&amp;"_HPN2-E"</f>
        <v>R-HC_Det_ELC_HPN2-E</v>
      </c>
      <c r="D254" s="23" t="s">
        <v>638</v>
      </c>
      <c r="E254" s="24" t="s">
        <v>144</v>
      </c>
      <c r="F254" s="24" t="s">
        <v>796</v>
      </c>
      <c r="G254" s="57" t="s">
        <v>739</v>
      </c>
      <c r="H254" s="22">
        <f t="shared" si="212"/>
        <v>0.857207207207207</v>
      </c>
      <c r="I254" s="23">
        <f t="shared" si="212"/>
        <v>0.90915915915915912</v>
      </c>
      <c r="J254" s="23">
        <f t="shared" si="212"/>
        <v>1.0390390390390389</v>
      </c>
      <c r="K254" s="57">
        <f t="shared" si="212"/>
        <v>1.1689189189189189</v>
      </c>
      <c r="L254" s="44">
        <f t="shared" si="213"/>
        <v>0.77148648648648632</v>
      </c>
      <c r="M254" s="32">
        <f t="shared" si="210"/>
        <v>0.81824324324324327</v>
      </c>
      <c r="N254" s="32">
        <f t="shared" si="210"/>
        <v>0.93513513513513502</v>
      </c>
      <c r="O254" s="45">
        <f t="shared" si="210"/>
        <v>1.0520270270270271</v>
      </c>
      <c r="P254" s="22"/>
      <c r="Q254" s="23"/>
      <c r="R254" s="23"/>
      <c r="S254" s="57"/>
      <c r="T254" s="53">
        <v>20</v>
      </c>
      <c r="U254" s="25"/>
      <c r="V254" s="63">
        <f t="shared" si="214"/>
        <v>20.252912004219407</v>
      </c>
      <c r="W254" s="63">
        <f t="shared" si="214"/>
        <v>20.252912004219407</v>
      </c>
      <c r="X254" s="63">
        <f t="shared" si="214"/>
        <v>18.513800893108296</v>
      </c>
      <c r="Y254" s="63">
        <f t="shared" si="214"/>
        <v>18.513800893108296</v>
      </c>
      <c r="Z254" s="514">
        <f>JRC_Data!$BL$18/1000*($U$291/$U$285)</f>
        <v>0.18633333333333332</v>
      </c>
      <c r="AA254" s="66"/>
      <c r="AB254" s="44"/>
      <c r="AC254" s="72"/>
      <c r="AD254" s="72"/>
      <c r="AE254" s="72"/>
      <c r="AF254" s="72"/>
      <c r="AG254" s="66"/>
      <c r="AH254" s="63">
        <f t="shared" si="215"/>
        <v>1.1983680000000001</v>
      </c>
      <c r="AI254" s="66"/>
      <c r="AJ254" s="24">
        <f t="shared" si="217"/>
        <v>2100</v>
      </c>
      <c r="AK254" s="520">
        <v>38</v>
      </c>
      <c r="AL254" s="4"/>
      <c r="AM254" s="4"/>
      <c r="AN254" s="205" t="str">
        <f t="shared" ref="AN254:AO254" si="219">C250</f>
        <v>R-HC_Det_ELC_HPN2-ABF</v>
      </c>
      <c r="AO254" s="205" t="str">
        <f t="shared" si="219"/>
        <v>Residential Electric Heat Pump AB - Ground to Water - SH + SC - F rated dwelling</v>
      </c>
      <c r="AP254" s="100" t="s">
        <v>13</v>
      </c>
      <c r="AQ254" s="116" t="s">
        <v>119</v>
      </c>
      <c r="AR254" s="100" t="s">
        <v>684</v>
      </c>
      <c r="AS254" s="4"/>
      <c r="AT254" s="100" t="s">
        <v>75</v>
      </c>
    </row>
    <row r="255" spans="3:46" ht="15.75" thickBot="1" x14ac:dyDescent="0.3">
      <c r="C255" s="521" t="str">
        <f>"R-HC_Det"&amp;"_"&amp;RIGHT(E255,3)&amp;"_HPN2-F"</f>
        <v>R-HC_Det_ELC_HPN2-F</v>
      </c>
      <c r="D255" s="29" t="s">
        <v>639</v>
      </c>
      <c r="E255" s="30" t="s">
        <v>144</v>
      </c>
      <c r="F255" s="30" t="s">
        <v>796</v>
      </c>
      <c r="G255" s="58" t="s">
        <v>740</v>
      </c>
      <c r="H255" s="40">
        <f t="shared" si="212"/>
        <v>0.81674174174174152</v>
      </c>
      <c r="I255" s="29">
        <f t="shared" si="212"/>
        <v>0.86624124124124113</v>
      </c>
      <c r="J255" s="29">
        <f t="shared" si="212"/>
        <v>0.98998998998998977</v>
      </c>
      <c r="K255" s="58">
        <f t="shared" si="212"/>
        <v>1.1137387387387385</v>
      </c>
      <c r="L255" s="42">
        <f t="shared" si="213"/>
        <v>0.73506756756756741</v>
      </c>
      <c r="M255" s="31">
        <f t="shared" si="210"/>
        <v>0.77961711711711701</v>
      </c>
      <c r="N255" s="31">
        <f t="shared" si="210"/>
        <v>0.89099099099099077</v>
      </c>
      <c r="O255" s="43">
        <f t="shared" si="210"/>
        <v>1.0023648648648646</v>
      </c>
      <c r="P255" s="40"/>
      <c r="Q255" s="29"/>
      <c r="R255" s="29"/>
      <c r="S255" s="58"/>
      <c r="T255" s="54">
        <v>20</v>
      </c>
      <c r="U255" s="41"/>
      <c r="V255" s="62">
        <f t="shared" si="214"/>
        <v>20.55275732419128</v>
      </c>
      <c r="W255" s="62">
        <f t="shared" si="214"/>
        <v>20.55275732419128</v>
      </c>
      <c r="X255" s="62">
        <f t="shared" si="214"/>
        <v>18.813646213080165</v>
      </c>
      <c r="Y255" s="62">
        <f t="shared" si="214"/>
        <v>18.813646213080165</v>
      </c>
      <c r="Z255" s="514">
        <f>JRC_Data!$BL$18/1000*($U$291/$U$285)</f>
        <v>0.18633333333333332</v>
      </c>
      <c r="AA255" s="65"/>
      <c r="AB255" s="42"/>
      <c r="AC255" s="71"/>
      <c r="AD255" s="71"/>
      <c r="AE255" s="71"/>
      <c r="AF255" s="71"/>
      <c r="AG255" s="209"/>
      <c r="AH255" s="62">
        <f t="shared" si="215"/>
        <v>1.1983680000000001</v>
      </c>
      <c r="AI255" s="65"/>
      <c r="AJ255" s="24">
        <f t="shared" si="217"/>
        <v>2100</v>
      </c>
      <c r="AK255" s="522">
        <v>38</v>
      </c>
      <c r="AL255" s="4"/>
      <c r="AM255" s="4"/>
      <c r="AN255" s="205" t="str">
        <f t="shared" ref="AN255:AO255" si="220">C251</f>
        <v>R-HC_Det_ELC_HPN2-ABG</v>
      </c>
      <c r="AO255" s="205" t="str">
        <f t="shared" si="220"/>
        <v>Residential Electric Heat Pump AB - Ground to Water - SH + SC - Grated dwelling</v>
      </c>
      <c r="AP255" s="100" t="s">
        <v>13</v>
      </c>
      <c r="AQ255" s="116" t="s">
        <v>119</v>
      </c>
      <c r="AR255" s="100" t="s">
        <v>684</v>
      </c>
      <c r="AS255" s="4"/>
      <c r="AT255" s="100" t="s">
        <v>75</v>
      </c>
    </row>
    <row r="256" spans="3:46" ht="15.75" thickBot="1" x14ac:dyDescent="0.3">
      <c r="C256" s="523" t="str">
        <f>"R-HC_Det"&amp;"_"&amp;RIGHT(E256,3)&amp;"_HPN2-G"</f>
        <v>R-HC_Det_ELC_HPN2-G</v>
      </c>
      <c r="D256" s="526" t="s">
        <v>640</v>
      </c>
      <c r="E256" s="524" t="s">
        <v>144</v>
      </c>
      <c r="F256" s="24" t="s">
        <v>796</v>
      </c>
      <c r="G256" s="527" t="s">
        <v>741</v>
      </c>
      <c r="H256" s="525">
        <f t="shared" si="212"/>
        <v>0.77627627627627616</v>
      </c>
      <c r="I256" s="526">
        <f t="shared" si="212"/>
        <v>0.82332332332332336</v>
      </c>
      <c r="J256" s="526">
        <f t="shared" si="212"/>
        <v>0.94094094094094083</v>
      </c>
      <c r="K256" s="527">
        <f t="shared" si="212"/>
        <v>1.0585585585585586</v>
      </c>
      <c r="L256" s="578">
        <f t="shared" si="213"/>
        <v>0.69864864864864851</v>
      </c>
      <c r="M256" s="542">
        <f t="shared" si="210"/>
        <v>0.74099099099099108</v>
      </c>
      <c r="N256" s="542">
        <f t="shared" si="210"/>
        <v>0.84684684684684675</v>
      </c>
      <c r="O256" s="579">
        <f t="shared" si="210"/>
        <v>0.95270270270270274</v>
      </c>
      <c r="P256" s="525"/>
      <c r="Q256" s="526"/>
      <c r="R256" s="526"/>
      <c r="S256" s="527"/>
      <c r="T256" s="580">
        <v>20</v>
      </c>
      <c r="U256" s="581"/>
      <c r="V256" s="528">
        <f t="shared" si="214"/>
        <v>20.852602644163149</v>
      </c>
      <c r="W256" s="528">
        <f t="shared" si="214"/>
        <v>20.852602644163149</v>
      </c>
      <c r="X256" s="528">
        <f t="shared" si="214"/>
        <v>19.113491533052038</v>
      </c>
      <c r="Y256" s="528">
        <f t="shared" si="214"/>
        <v>19.113491533052038</v>
      </c>
      <c r="Z256" s="514">
        <f>JRC_Data!$BL$18/1000*($U$291/$U$285)</f>
        <v>0.18633333333333332</v>
      </c>
      <c r="AA256" s="529"/>
      <c r="AB256" s="578"/>
      <c r="AC256" s="530"/>
      <c r="AD256" s="530"/>
      <c r="AE256" s="530"/>
      <c r="AF256" s="530"/>
      <c r="AG256" s="529"/>
      <c r="AH256" s="528">
        <f t="shared" si="215"/>
        <v>1.1983680000000001</v>
      </c>
      <c r="AI256" s="529"/>
      <c r="AJ256" s="24">
        <f t="shared" si="217"/>
        <v>2100</v>
      </c>
      <c r="AK256" s="531">
        <v>38</v>
      </c>
      <c r="AL256" s="4"/>
      <c r="AM256" s="4"/>
      <c r="AN256" s="205" t="str">
        <f t="shared" ref="AN256:AO260" si="221">C252</f>
        <v>R-HC_Det_ELC_HPN2-C</v>
      </c>
      <c r="AO256" s="205" t="str">
        <f t="shared" si="221"/>
        <v>Residential Electric Heat Pump - Ground to Water - SH + SC - C rated dwelling</v>
      </c>
      <c r="AP256" s="100" t="s">
        <v>13</v>
      </c>
      <c r="AQ256" s="116" t="s">
        <v>119</v>
      </c>
      <c r="AR256" s="100" t="s">
        <v>684</v>
      </c>
      <c r="AT256" s="100" t="s">
        <v>75</v>
      </c>
    </row>
    <row r="257" spans="3:46" ht="15" x14ac:dyDescent="0.25">
      <c r="C257" s="33" t="s">
        <v>256</v>
      </c>
      <c r="D257" s="33"/>
      <c r="E257" s="34"/>
      <c r="F257" s="34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4"/>
      <c r="U257" s="34"/>
      <c r="V257" s="33"/>
      <c r="W257" s="33"/>
      <c r="X257" s="33"/>
      <c r="Y257" s="33"/>
      <c r="Z257" s="33"/>
      <c r="AA257" s="86"/>
      <c r="AB257" s="36"/>
      <c r="AC257" s="36"/>
      <c r="AD257" s="36"/>
      <c r="AE257" s="36"/>
      <c r="AF257" s="36"/>
      <c r="AG257" s="36"/>
      <c r="AH257" s="33"/>
      <c r="AI257" s="34"/>
      <c r="AJ257" s="34"/>
      <c r="AK257" s="34"/>
      <c r="AL257" s="4"/>
      <c r="AM257" s="4"/>
      <c r="AN257" s="205" t="str">
        <f t="shared" si="221"/>
        <v>R-HC_Det_ELC_HPN2-D</v>
      </c>
      <c r="AO257" s="205" t="str">
        <f t="shared" si="221"/>
        <v>Residential Electric Heat Pump - Ground to Water - SH + SC - D rated dwelling</v>
      </c>
      <c r="AP257" s="100" t="s">
        <v>13</v>
      </c>
      <c r="AQ257" s="116" t="s">
        <v>119</v>
      </c>
      <c r="AR257" s="100" t="s">
        <v>684</v>
      </c>
      <c r="AT257" s="100" t="s">
        <v>75</v>
      </c>
    </row>
    <row r="258" spans="3:46" ht="15" x14ac:dyDescent="0.25">
      <c r="C258" s="19" t="str">
        <f>"R-SW_Det"&amp;"_"&amp;RIGHT(E258,3)&amp;"_HPN1"</f>
        <v>R-SW_Det_GAS_HPN1</v>
      </c>
      <c r="D258" s="20" t="s">
        <v>111</v>
      </c>
      <c r="E258" s="88" t="s">
        <v>599</v>
      </c>
      <c r="F258" s="88" t="s">
        <v>565</v>
      </c>
      <c r="G258" s="88" t="s">
        <v>623</v>
      </c>
      <c r="H258" s="349">
        <f>JRC_Data!AC28/0.81</f>
        <v>1.6666666666666667</v>
      </c>
      <c r="I258" s="349">
        <f>JRC_Data!AD28/0.81</f>
        <v>1.7901234567901232</v>
      </c>
      <c r="J258" s="349">
        <f>JRC_Data!AE28/0.81</f>
        <v>2.0987654320987654</v>
      </c>
      <c r="K258" s="349">
        <f>JRC_Data!AF28/0.81</f>
        <v>2.0987654320987654</v>
      </c>
      <c r="L258" s="46"/>
      <c r="M258" s="47"/>
      <c r="N258" s="47"/>
      <c r="O258" s="48"/>
      <c r="P258" s="19">
        <f>H258*0.7</f>
        <v>1.1666666666666667</v>
      </c>
      <c r="Q258" s="20">
        <f t="shared" ref="Q258:Q259" si="222">I258*0.7</f>
        <v>1.2530864197530862</v>
      </c>
      <c r="R258" s="20">
        <f t="shared" ref="R258:R259" si="223">J258*0.7</f>
        <v>1.4691358024691357</v>
      </c>
      <c r="S258" s="56">
        <f t="shared" ref="S258:S259" si="224">K258*0.7</f>
        <v>1.4691358024691357</v>
      </c>
      <c r="T258" s="88">
        <v>20</v>
      </c>
      <c r="U258" s="48"/>
      <c r="V258" s="19">
        <f>(JRC_Data!BB28/1000)*($U$291/$U$290)</f>
        <v>16.834749034749034</v>
      </c>
      <c r="W258" s="19">
        <f>(JRC_Data!BC28/1000)*($U$291/$U$290)</f>
        <v>15.755598455598454</v>
      </c>
      <c r="X258" s="19">
        <f>(JRC_Data!BD28/1000)*($U$291/$U$290)</f>
        <v>13.597297297297297</v>
      </c>
      <c r="Y258" s="19">
        <f>(JRC_Data!BE28/1000)*($U$291/$U$290)</f>
        <v>13.597297297297297</v>
      </c>
      <c r="Z258" s="84">
        <f>JRC_Data!BL28/1000</f>
        <v>0.23499999999999999</v>
      </c>
      <c r="AA258" s="84"/>
      <c r="AB258" s="56"/>
      <c r="AC258" s="84"/>
      <c r="AD258" s="84"/>
      <c r="AE258" s="84"/>
      <c r="AF258" s="72">
        <v>0.01</v>
      </c>
      <c r="AG258" s="84"/>
      <c r="AH258" s="84">
        <f t="shared" si="149"/>
        <v>1.1983680000000001</v>
      </c>
      <c r="AI258" s="87"/>
      <c r="AJ258" s="65">
        <v>2019</v>
      </c>
      <c r="AK258" s="87">
        <v>38</v>
      </c>
      <c r="AL258" s="4"/>
      <c r="AM258" s="4"/>
      <c r="AN258" s="205" t="str">
        <f t="shared" si="221"/>
        <v>R-HC_Det_ELC_HPN2-E</v>
      </c>
      <c r="AO258" s="205" t="str">
        <f t="shared" si="221"/>
        <v>Residential Electric Heat Pump - Ground to Water - SH + SC - E rated dwelling</v>
      </c>
      <c r="AP258" s="100" t="s">
        <v>13</v>
      </c>
      <c r="AQ258" s="116" t="s">
        <v>119</v>
      </c>
      <c r="AR258" s="100" t="s">
        <v>684</v>
      </c>
      <c r="AT258" s="100" t="s">
        <v>75</v>
      </c>
    </row>
    <row r="259" spans="3:46" ht="15" x14ac:dyDescent="0.25">
      <c r="C259" s="226" t="str">
        <f>"R-SW_Det"&amp;"_"&amp;RIGHT(E259,3)&amp;"_HPN2"</f>
        <v>R-SW_Det_GAS_HPN2</v>
      </c>
      <c r="D259" s="26" t="s">
        <v>112</v>
      </c>
      <c r="E259" s="27" t="s">
        <v>599</v>
      </c>
      <c r="F259" s="27" t="s">
        <v>565</v>
      </c>
      <c r="G259" s="27" t="s">
        <v>623</v>
      </c>
      <c r="H259" s="350">
        <f>JRC_Data!AC30/0.9</f>
        <v>1.6666666666666665</v>
      </c>
      <c r="I259" s="350">
        <f>JRC_Data!AD30/0.9</f>
        <v>1.7222222222222223</v>
      </c>
      <c r="J259" s="350">
        <f>JRC_Data!AE30/0.9</f>
        <v>1.7222222222222223</v>
      </c>
      <c r="K259" s="350">
        <f>JRC_Data!AF30/0.9</f>
        <v>1.7777777777777779</v>
      </c>
      <c r="L259" s="49"/>
      <c r="M259" s="50"/>
      <c r="N259" s="50"/>
      <c r="O259" s="51"/>
      <c r="P259" s="226">
        <f>H259*0.7</f>
        <v>1.1666666666666665</v>
      </c>
      <c r="Q259" s="26">
        <f t="shared" si="222"/>
        <v>1.2055555555555555</v>
      </c>
      <c r="R259" s="26">
        <f t="shared" si="223"/>
        <v>1.2055555555555555</v>
      </c>
      <c r="S259" s="59">
        <f t="shared" si="224"/>
        <v>1.2444444444444445</v>
      </c>
      <c r="T259" s="27">
        <v>15</v>
      </c>
      <c r="U259" s="51"/>
      <c r="V259" s="226">
        <f>(JRC_Data!BB30/1000)*($U$291/$U$290)</f>
        <v>51.259652509652504</v>
      </c>
      <c r="W259" s="226">
        <f>(JRC_Data!BC30/1000)*($U$291/$U$290)</f>
        <v>51.259652509652504</v>
      </c>
      <c r="X259" s="226">
        <f>(JRC_Data!BD30/1000)*($U$291/$U$290)</f>
        <v>51.259652509652504</v>
      </c>
      <c r="Y259" s="226">
        <f>(JRC_Data!BE30/1000)*($U$291/$U$290)</f>
        <v>51.259652509652504</v>
      </c>
      <c r="Z259" s="64">
        <f>JRC_Data!BL28/1000</f>
        <v>0.23499999999999999</v>
      </c>
      <c r="AA259" s="64"/>
      <c r="AB259" s="59"/>
      <c r="AC259" s="64"/>
      <c r="AD259" s="64"/>
      <c r="AE259" s="64"/>
      <c r="AF259" s="72">
        <v>0.01</v>
      </c>
      <c r="AG259" s="64"/>
      <c r="AH259" s="64">
        <f t="shared" si="149"/>
        <v>1.1983680000000001</v>
      </c>
      <c r="AI259" s="67"/>
      <c r="AJ259" s="66">
        <v>2019</v>
      </c>
      <c r="AK259" s="67">
        <v>38</v>
      </c>
      <c r="AL259" s="4"/>
      <c r="AM259" s="4"/>
      <c r="AN259" s="205" t="str">
        <f t="shared" si="221"/>
        <v>R-HC_Det_ELC_HPN2-F</v>
      </c>
      <c r="AO259" s="205" t="str">
        <f t="shared" si="221"/>
        <v>Residential Electric Heat Pump - Ground to Water - SH + SC - F rated dwelling</v>
      </c>
      <c r="AP259" s="100" t="s">
        <v>13</v>
      </c>
      <c r="AQ259" s="116" t="s">
        <v>119</v>
      </c>
      <c r="AR259" s="100" t="s">
        <v>684</v>
      </c>
      <c r="AT259" s="100" t="s">
        <v>75</v>
      </c>
    </row>
    <row r="260" spans="3:46" ht="15" x14ac:dyDescent="0.25">
      <c r="C260" s="33" t="s">
        <v>108</v>
      </c>
      <c r="D260" s="33"/>
      <c r="E260" s="34"/>
      <c r="F260" s="34"/>
      <c r="G260" s="34"/>
      <c r="H260" s="34"/>
      <c r="I260" s="34"/>
      <c r="J260" s="34"/>
      <c r="K260" s="34"/>
      <c r="L260" s="35"/>
      <c r="M260" s="35"/>
      <c r="N260" s="35"/>
      <c r="O260" s="35"/>
      <c r="P260" s="33"/>
      <c r="Q260" s="33"/>
      <c r="R260" s="33"/>
      <c r="S260" s="33"/>
      <c r="T260" s="34"/>
      <c r="U260" s="34"/>
      <c r="V260" s="33"/>
      <c r="W260" s="33"/>
      <c r="X260" s="33"/>
      <c r="Y260" s="33"/>
      <c r="Z260" s="33"/>
      <c r="AA260" s="34"/>
      <c r="AB260" s="36"/>
      <c r="AC260" s="36"/>
      <c r="AD260" s="36"/>
      <c r="AE260" s="36"/>
      <c r="AF260" s="36"/>
      <c r="AG260" s="36"/>
      <c r="AH260" s="33"/>
      <c r="AI260" s="34"/>
      <c r="AJ260" s="34"/>
      <c r="AK260" s="34"/>
      <c r="AL260" s="4"/>
      <c r="AM260" s="4"/>
      <c r="AN260" s="205" t="str">
        <f t="shared" si="221"/>
        <v>R-HC_Det_ELC_HPN2-G</v>
      </c>
      <c r="AO260" s="205" t="str">
        <f t="shared" si="221"/>
        <v>Residential Electric Heat Pump - Ground to Water - SH + SC - G rated dwelling</v>
      </c>
      <c r="AP260" s="100" t="s">
        <v>13</v>
      </c>
      <c r="AQ260" s="116" t="s">
        <v>119</v>
      </c>
      <c r="AR260" s="100" t="s">
        <v>684</v>
      </c>
      <c r="AT260" s="100" t="s">
        <v>75</v>
      </c>
    </row>
    <row r="261" spans="3:46" ht="15" x14ac:dyDescent="0.25">
      <c r="C261" s="92" t="str">
        <f>"R-SW_Det"&amp;"_"&amp;RIGHT(E261,3)&amp;"_HHPN1"</f>
        <v>R-SW_Det_GAS_HHPN1</v>
      </c>
      <c r="D261" s="79" t="s">
        <v>118</v>
      </c>
      <c r="E261" s="114" t="s">
        <v>600</v>
      </c>
      <c r="F261" s="114" t="s">
        <v>565</v>
      </c>
      <c r="G261" s="94" t="s">
        <v>623</v>
      </c>
      <c r="H261" s="349">
        <f>1*$AD$68+JRC_Data!AD18*(1.3-$AD$68)</f>
        <v>3.4850000000000003</v>
      </c>
      <c r="I261" s="349">
        <f>1*$AD$68+JRC_Data!AE18*(1.3-$AD$68)</f>
        <v>3.8650000000000007</v>
      </c>
      <c r="J261" s="349">
        <f>1*$AD$68+JRC_Data!AF18*(1.3-$AD$68)</f>
        <v>4.1500000000000004</v>
      </c>
      <c r="K261" s="349">
        <f>1*$AD$68+JRC_Data!AG18*(1.3-$AD$68)</f>
        <v>4.1500000000000004</v>
      </c>
      <c r="L261" s="49"/>
      <c r="M261" s="50"/>
      <c r="N261" s="50"/>
      <c r="O261" s="51"/>
      <c r="P261" s="226">
        <f>H261*0.7</f>
        <v>2.4395000000000002</v>
      </c>
      <c r="Q261" s="26">
        <f t="shared" ref="Q261" si="225">I261*0.7</f>
        <v>2.7055000000000002</v>
      </c>
      <c r="R261" s="26">
        <f t="shared" ref="R261" si="226">J261*0.7</f>
        <v>2.9050000000000002</v>
      </c>
      <c r="S261" s="59">
        <f t="shared" ref="S261" si="227">K261*0.7</f>
        <v>2.9050000000000002</v>
      </c>
      <c r="T261" s="3">
        <v>20</v>
      </c>
      <c r="V261" s="78">
        <f>(V213+V186)*0.8</f>
        <v>13.903476550691739</v>
      </c>
      <c r="W261" s="78">
        <f>(W213+W186)*0.8</f>
        <v>12.9260520781179</v>
      </c>
      <c r="X261" s="78">
        <f>(X213+X186)*0.8</f>
        <v>12.036595808075704</v>
      </c>
      <c r="Y261" s="78">
        <f>(Y213+Y186)*0.8</f>
        <v>11.948627605544058</v>
      </c>
      <c r="Z261" s="344">
        <f>(JRC_Data!BL9+JRC_Data!BL18)*0.8/1000</f>
        <v>0.308</v>
      </c>
      <c r="AA261" s="82"/>
      <c r="AB261" s="83"/>
      <c r="AC261" s="83"/>
      <c r="AD261" s="83">
        <v>0.35</v>
      </c>
      <c r="AE261" s="72">
        <f>AD261</f>
        <v>0.35</v>
      </c>
      <c r="AF261" s="72"/>
      <c r="AG261" s="82">
        <v>5</v>
      </c>
      <c r="AH261" s="81">
        <f t="shared" si="149"/>
        <v>1.1983680000000001</v>
      </c>
      <c r="AI261" s="82"/>
      <c r="AJ261" s="82">
        <v>2019</v>
      </c>
      <c r="AK261" s="82">
        <f>AK186*AD261+AK224*(1-AD261)</f>
        <v>38</v>
      </c>
      <c r="AL261" s="4"/>
      <c r="AM261" s="4"/>
      <c r="AN261" s="205" t="str">
        <f>C258</f>
        <v>R-SW_Det_GAS_HPN1</v>
      </c>
      <c r="AO261" s="205" t="str">
        <f>D258</f>
        <v>Residential Gas Absorption Heat Pump - Air to Water - SH + WH</v>
      </c>
      <c r="AP261" s="100" t="s">
        <v>13</v>
      </c>
      <c r="AQ261" s="116" t="s">
        <v>119</v>
      </c>
      <c r="AR261" s="100"/>
      <c r="AT261" s="100" t="s">
        <v>75</v>
      </c>
    </row>
    <row r="262" spans="3:46" ht="15" x14ac:dyDescent="0.25">
      <c r="C262" s="33" t="s">
        <v>113</v>
      </c>
      <c r="D262" s="33"/>
      <c r="E262" s="34"/>
      <c r="F262" s="34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4"/>
      <c r="U262" s="34"/>
      <c r="V262" s="33"/>
      <c r="W262" s="33"/>
      <c r="X262" s="33"/>
      <c r="Y262" s="33"/>
      <c r="Z262" s="33"/>
      <c r="AA262" s="34"/>
      <c r="AB262" s="36"/>
      <c r="AC262" s="36"/>
      <c r="AD262" s="36"/>
      <c r="AE262" s="36"/>
      <c r="AF262" s="36"/>
      <c r="AG262" s="36"/>
      <c r="AH262" s="33"/>
      <c r="AI262" s="34"/>
      <c r="AJ262" s="34"/>
      <c r="AK262" s="34"/>
      <c r="AL262" s="4"/>
      <c r="AM262" s="4"/>
      <c r="AN262" s="205" t="str">
        <f>C259</f>
        <v>R-SW_Det_GAS_HPN2</v>
      </c>
      <c r="AO262" s="205" t="str">
        <f>D259</f>
        <v>Residential Gas Engine Heat Pump - Air to Water - SH + WH</v>
      </c>
      <c r="AP262" s="100" t="s">
        <v>13</v>
      </c>
      <c r="AQ262" s="116" t="s">
        <v>119</v>
      </c>
      <c r="AR262" s="100"/>
      <c r="AT262" s="100" t="s">
        <v>75</v>
      </c>
    </row>
    <row r="263" spans="3:46" ht="15" x14ac:dyDescent="0.25">
      <c r="C263" s="19" t="str">
        <f>"R-SW_"&amp;RIGHT(E263,3)&amp;"_HET_N1"</f>
        <v>R-SW_Det_HET_N1</v>
      </c>
      <c r="D263" s="20" t="s">
        <v>708</v>
      </c>
      <c r="E263" s="88" t="s">
        <v>685</v>
      </c>
      <c r="F263" s="88"/>
      <c r="G263" s="88" t="s">
        <v>623</v>
      </c>
      <c r="H263" s="19">
        <v>1</v>
      </c>
      <c r="I263" s="20">
        <v>1</v>
      </c>
      <c r="J263" s="20">
        <v>1</v>
      </c>
      <c r="K263" s="56">
        <v>1</v>
      </c>
      <c r="L263" s="46"/>
      <c r="M263" s="47"/>
      <c r="N263" s="47"/>
      <c r="O263" s="48"/>
      <c r="P263" s="220">
        <v>0.7</v>
      </c>
      <c r="Q263" s="221">
        <v>0.7</v>
      </c>
      <c r="R263" s="221">
        <v>0.7</v>
      </c>
      <c r="S263" s="222">
        <v>0.7</v>
      </c>
      <c r="T263" s="52">
        <v>20</v>
      </c>
      <c r="U263" s="48"/>
      <c r="V263" s="19">
        <f>((100*$AK$263)/1000)*(JRC_Data!BB62/JRC_Data!$BB$62)</f>
        <v>3.8</v>
      </c>
      <c r="W263" s="19">
        <f>((100*$AK$263)/1000)*(JRC_Data!BC62/JRC_Data!$BB$62)</f>
        <v>3.8</v>
      </c>
      <c r="X263" s="19">
        <f>((100*$AK$263)/1000)*(JRC_Data!BD62/JRC_Data!$BB$62)</f>
        <v>3.8</v>
      </c>
      <c r="Y263" s="19">
        <f>((100*$AK$263)/1000)*(JRC_Data!BE62/JRC_Data!$BB$62)</f>
        <v>3.8</v>
      </c>
      <c r="Z263" s="84">
        <f>JRC_Data!BL62/1000</f>
        <v>0.15</v>
      </c>
      <c r="AA263" s="84"/>
      <c r="AB263" s="84"/>
      <c r="AC263" s="84"/>
      <c r="AD263" s="84"/>
      <c r="AE263" s="84"/>
      <c r="AF263" s="84"/>
      <c r="AG263" s="84"/>
      <c r="AH263" s="84">
        <f t="shared" si="149"/>
        <v>1.1983680000000001</v>
      </c>
      <c r="AI263" s="87"/>
      <c r="AJ263" s="65">
        <v>2019</v>
      </c>
      <c r="AK263" s="87">
        <v>38</v>
      </c>
      <c r="AM263" s="4"/>
      <c r="AN263" s="205" t="str">
        <f>C261</f>
        <v>R-SW_Det_GAS_HHPN1</v>
      </c>
      <c r="AO263" s="205" t="str">
        <f>D261</f>
        <v>Residential Gas Hybrid Heat Pump - Air to Water - SH + WH</v>
      </c>
      <c r="AP263" s="100" t="s">
        <v>13</v>
      </c>
      <c r="AQ263" s="116" t="s">
        <v>119</v>
      </c>
      <c r="AR263" s="100" t="s">
        <v>684</v>
      </c>
      <c r="AT263" s="100" t="s">
        <v>75</v>
      </c>
    </row>
    <row r="264" spans="3:46" ht="15" x14ac:dyDescent="0.25">
      <c r="C264" s="33" t="s">
        <v>114</v>
      </c>
      <c r="D264" s="33"/>
      <c r="E264" s="34"/>
      <c r="F264" s="34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4"/>
      <c r="U264" s="34"/>
      <c r="V264" s="33"/>
      <c r="W264" s="33"/>
      <c r="X264" s="33"/>
      <c r="Y264" s="33"/>
      <c r="Z264" s="33"/>
      <c r="AA264" s="34"/>
      <c r="AB264" s="36"/>
      <c r="AC264" s="36"/>
      <c r="AD264" s="36"/>
      <c r="AE264" s="36"/>
      <c r="AF264" s="36"/>
      <c r="AG264" s="36"/>
      <c r="AH264" s="33"/>
      <c r="AI264" s="34"/>
      <c r="AJ264" s="34"/>
      <c r="AK264" s="34"/>
      <c r="AM264" s="4"/>
      <c r="AN264" s="205" t="str">
        <f>C263</f>
        <v>R-SW_Det_HET_N1</v>
      </c>
      <c r="AO264" s="205" t="str">
        <f>D263</f>
        <v>Residential District Heating HIU- SH + WH</v>
      </c>
      <c r="AP264" s="100" t="s">
        <v>13</v>
      </c>
      <c r="AQ264" s="116" t="s">
        <v>119</v>
      </c>
      <c r="AR264" s="100" t="s">
        <v>684</v>
      </c>
      <c r="AT264" s="100" t="s">
        <v>75</v>
      </c>
    </row>
    <row r="265" spans="3:46" ht="15" x14ac:dyDescent="0.25">
      <c r="C265" s="19" t="str">
        <f>"R-WH_Det"&amp;"_"&amp;RIGHT(E265,3)&amp;"_N1"</f>
        <v>R-WH_Det_ELC_N1</v>
      </c>
      <c r="D265" s="20" t="s">
        <v>115</v>
      </c>
      <c r="E265" s="88" t="s">
        <v>144</v>
      </c>
      <c r="F265" s="88"/>
      <c r="G265" s="56" t="s">
        <v>141</v>
      </c>
      <c r="H265" s="46"/>
      <c r="I265" s="47"/>
      <c r="J265" s="47"/>
      <c r="K265" s="48"/>
      <c r="L265" s="46"/>
      <c r="M265" s="47"/>
      <c r="N265" s="47"/>
      <c r="O265" s="48"/>
      <c r="P265" s="220">
        <v>0.7</v>
      </c>
      <c r="Q265" s="221">
        <v>0.7</v>
      </c>
      <c r="R265" s="221">
        <v>0.7</v>
      </c>
      <c r="S265" s="222">
        <v>0.7</v>
      </c>
      <c r="T265" s="52">
        <v>15</v>
      </c>
      <c r="U265" s="48"/>
      <c r="V265" s="19">
        <f>(JRC_Data!BB48/1000)*($U$284/$U$283)*0.5</f>
        <v>2.1511111111111108</v>
      </c>
      <c r="W265" s="19">
        <f>(JRC_Data!BC48/1000)*($U$284/$U$283)*0.5</f>
        <v>2.1511111111111108</v>
      </c>
      <c r="X265" s="19">
        <f>(JRC_Data!BD48/1000)*($U$284/$U$283)*0.5</f>
        <v>2.1511111111111108</v>
      </c>
      <c r="Y265" s="19">
        <f>(JRC_Data!BE48/1000)*($U$284/$U$283)*0.5</f>
        <v>2.1511111111111108</v>
      </c>
      <c r="Z265" s="84">
        <f>JRC_Data!BL48/1000</f>
        <v>0.05</v>
      </c>
      <c r="AA265" s="84"/>
      <c r="AB265" s="84"/>
      <c r="AC265" s="84"/>
      <c r="AD265" s="84"/>
      <c r="AE265" s="84"/>
      <c r="AF265" s="84"/>
      <c r="AG265" s="84"/>
      <c r="AH265" s="84">
        <f t="shared" si="149"/>
        <v>0.15768000000000001</v>
      </c>
      <c r="AI265" s="87"/>
      <c r="AJ265" s="87">
        <v>2019</v>
      </c>
      <c r="AK265" s="87">
        <v>5</v>
      </c>
      <c r="AM265" s="4"/>
      <c r="AN265" s="205" t="str">
        <f>C265</f>
        <v>R-WH_Det_ELC_N1</v>
      </c>
      <c r="AO265" s="205" t="str">
        <f>D265</f>
        <v xml:space="preserve">Residential Electric Water Heater </v>
      </c>
      <c r="AP265" s="100" t="s">
        <v>13</v>
      </c>
      <c r="AQ265" s="116" t="s">
        <v>119</v>
      </c>
      <c r="AR265" s="100" t="s">
        <v>684</v>
      </c>
      <c r="AT265" s="100" t="s">
        <v>75</v>
      </c>
    </row>
    <row r="266" spans="3:46" ht="15" x14ac:dyDescent="0.25">
      <c r="C266" s="226" t="str">
        <f>"R-WH_Det"&amp;"_"&amp;RIGHT(E266,3)&amp;"_N1"</f>
        <v>R-WH_Det_SOL_N1</v>
      </c>
      <c r="D266" s="26" t="s">
        <v>116</v>
      </c>
      <c r="E266" s="27" t="s">
        <v>250</v>
      </c>
      <c r="F266" s="27"/>
      <c r="G266" s="59" t="s">
        <v>691</v>
      </c>
      <c r="H266" s="49"/>
      <c r="I266" s="50"/>
      <c r="J266" s="50"/>
      <c r="K266" s="51"/>
      <c r="L266" s="49"/>
      <c r="M266" s="50"/>
      <c r="N266" s="50"/>
      <c r="O266" s="51"/>
      <c r="P266" s="217">
        <v>1</v>
      </c>
      <c r="Q266" s="218">
        <v>1</v>
      </c>
      <c r="R266" s="218">
        <v>1</v>
      </c>
      <c r="S266" s="219">
        <v>1</v>
      </c>
      <c r="T266" s="53">
        <v>25</v>
      </c>
      <c r="U266" s="22">
        <v>30</v>
      </c>
      <c r="V266" s="22">
        <f>(JRC_Data!BB45/1000)*($U$284/$U$283)*0.5</f>
        <v>2.9039999999999999</v>
      </c>
      <c r="W266" s="22">
        <f>(JRC_Data!BC45/1000)*($U$284/$U$283)*0.5</f>
        <v>2.7426666666666661</v>
      </c>
      <c r="X266" s="22">
        <f>(JRC_Data!BD45/1000)*($U$284/$U$283)*0.5</f>
        <v>2.473777777777777</v>
      </c>
      <c r="Y266" s="22">
        <f>(JRC_Data!BE45/1000)*($U$284/$U$283)*0.5</f>
        <v>1.9897777777777776</v>
      </c>
      <c r="Z266" s="63">
        <f>JRC_Data!BL45/1000</f>
        <v>6.2E-2</v>
      </c>
      <c r="AA266" s="63"/>
      <c r="AB266" s="63"/>
      <c r="AC266" s="63"/>
      <c r="AD266" s="63"/>
      <c r="AE266" s="63"/>
      <c r="AF266" s="63"/>
      <c r="AG266" s="63"/>
      <c r="AH266" s="63">
        <f t="shared" si="149"/>
        <v>0.15768000000000001</v>
      </c>
      <c r="AI266" s="67"/>
      <c r="AJ266" s="66">
        <v>2019</v>
      </c>
      <c r="AK266" s="66">
        <v>5</v>
      </c>
      <c r="AM266" s="4"/>
      <c r="AN266" s="205" t="str">
        <f>C266</f>
        <v>R-WH_Det_SOL_N1</v>
      </c>
      <c r="AO266" s="205" t="str">
        <f>D266</f>
        <v xml:space="preserve">Residential Solar Water Heater </v>
      </c>
      <c r="AP266" s="100" t="s">
        <v>13</v>
      </c>
      <c r="AQ266" s="116" t="s">
        <v>119</v>
      </c>
      <c r="AR266" s="100"/>
      <c r="AT266" s="100" t="s">
        <v>75</v>
      </c>
    </row>
    <row r="267" spans="3:46" ht="15" x14ac:dyDescent="0.25">
      <c r="C267" s="33" t="s">
        <v>260</v>
      </c>
      <c r="D267" s="33"/>
      <c r="E267" s="34"/>
      <c r="F267" s="34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4"/>
      <c r="U267" s="34"/>
      <c r="V267" s="33"/>
      <c r="W267" s="33"/>
      <c r="X267" s="33"/>
      <c r="Y267" s="33"/>
      <c r="Z267" s="33"/>
      <c r="AA267" s="34"/>
      <c r="AB267" s="36"/>
      <c r="AC267" s="36"/>
      <c r="AD267" s="36"/>
      <c r="AE267" s="36"/>
      <c r="AF267" s="36"/>
      <c r="AG267" s="36"/>
      <c r="AH267" s="33"/>
      <c r="AI267" s="34"/>
      <c r="AJ267" s="34"/>
      <c r="AK267" s="34"/>
      <c r="AM267" s="4"/>
      <c r="AN267" s="205" t="str">
        <f>C268</f>
        <v>R-SC_Det_ELC_N1</v>
      </c>
      <c r="AO267" s="205" t="str">
        <f>D268</f>
        <v>Residential Electric Air Conditioning</v>
      </c>
      <c r="AP267" s="100" t="s">
        <v>13</v>
      </c>
      <c r="AQ267" s="116" t="s">
        <v>119</v>
      </c>
      <c r="AR267" s="100" t="s">
        <v>684</v>
      </c>
      <c r="AT267" s="100" t="s">
        <v>75</v>
      </c>
    </row>
    <row r="268" spans="3:46" x14ac:dyDescent="0.2">
      <c r="C268" s="29" t="str">
        <f>"R-SC_Det"&amp;"_"&amp;RIGHT(E268,3)&amp;"_N1"</f>
        <v>R-SC_Det_ELC_N1</v>
      </c>
      <c r="D268" s="93" t="s">
        <v>117</v>
      </c>
      <c r="E268" s="110" t="s">
        <v>144</v>
      </c>
      <c r="F268" s="110"/>
      <c r="G268" s="111" t="s">
        <v>140</v>
      </c>
      <c r="H268" s="108"/>
      <c r="I268" s="109"/>
      <c r="J268" s="109"/>
      <c r="K268" s="109"/>
      <c r="L268" s="232">
        <v>1</v>
      </c>
      <c r="M268" s="233">
        <v>1.0666666666666667</v>
      </c>
      <c r="N268" s="233">
        <v>1.2333333333333334</v>
      </c>
      <c r="O268" s="233">
        <v>1.3333333333333333</v>
      </c>
      <c r="P268" s="109"/>
      <c r="Q268" s="109"/>
      <c r="R268" s="109"/>
      <c r="S268" s="96"/>
      <c r="T268" s="95">
        <v>20</v>
      </c>
      <c r="U268" s="96"/>
      <c r="V268" s="92">
        <f>(JRC_Data!BB16/1000)*($U$285/$U$289)</f>
        <v>2.0204081632653064</v>
      </c>
      <c r="W268" s="92">
        <f>(JRC_Data!BC16/1000)*($U$285/$U$289)</f>
        <v>1.9285714285714286</v>
      </c>
      <c r="X268" s="92">
        <f>(JRC_Data!BD16/1000)*($U$285/$U$289)</f>
        <v>1.7448979591836735</v>
      </c>
      <c r="Y268" s="92">
        <f>(JRC_Data!BE16/1000)*($U$285/$U$289)</f>
        <v>1.653061224489796</v>
      </c>
      <c r="Z268" s="90">
        <f>JRC_Data!BL16/1000</f>
        <v>3.4000000000000002E-2</v>
      </c>
      <c r="AA268" s="90"/>
      <c r="AB268" s="90"/>
      <c r="AC268" s="90"/>
      <c r="AD268" s="90"/>
      <c r="AE268" s="90"/>
      <c r="AF268" s="90"/>
      <c r="AG268" s="90"/>
      <c r="AH268" s="90">
        <f t="shared" si="149"/>
        <v>0.25228800000000001</v>
      </c>
      <c r="AI268" s="89"/>
      <c r="AJ268" s="89">
        <v>2100</v>
      </c>
      <c r="AK268" s="89">
        <v>8</v>
      </c>
      <c r="AM268" s="4"/>
    </row>
    <row r="269" spans="3:46" x14ac:dyDescent="0.2">
      <c r="AM269" s="4"/>
    </row>
    <row r="270" spans="3:46" ht="15" x14ac:dyDescent="0.25">
      <c r="C270" s="4"/>
      <c r="I270" s="6"/>
      <c r="J270" s="6"/>
      <c r="K270" s="6"/>
      <c r="L270" s="6"/>
      <c r="M270" s="1"/>
      <c r="N270" s="1"/>
      <c r="O270" s="9"/>
      <c r="P270" s="8"/>
      <c r="Q270" s="9"/>
      <c r="R270" s="9"/>
      <c r="S270" s="7"/>
      <c r="T270" s="9"/>
      <c r="U270" s="9"/>
      <c r="V270" s="7"/>
      <c r="W270" s="7"/>
      <c r="Z270" s="6"/>
      <c r="AM270" s="4"/>
    </row>
    <row r="271" spans="3:46" ht="15" x14ac:dyDescent="0.25">
      <c r="I271" s="6"/>
      <c r="J271" s="6"/>
      <c r="K271" s="6"/>
      <c r="L271" s="6"/>
      <c r="M271" s="1"/>
      <c r="N271" s="1"/>
      <c r="O271" s="9"/>
      <c r="P271" s="8"/>
      <c r="Q271" s="9"/>
      <c r="R271" s="9"/>
      <c r="S271" s="7"/>
      <c r="T271" s="9"/>
      <c r="U271" s="9"/>
      <c r="V271" s="7"/>
      <c r="W271" s="7"/>
      <c r="Z271" s="6"/>
      <c r="AL271" s="4"/>
      <c r="AM271" s="4"/>
    </row>
    <row r="272" spans="3:46" x14ac:dyDescent="0.2">
      <c r="AL272" s="4"/>
    </row>
    <row r="273" spans="10:39" x14ac:dyDescent="0.2">
      <c r="J273" s="11"/>
      <c r="AL273" s="4"/>
    </row>
    <row r="274" spans="10:39" x14ac:dyDescent="0.2">
      <c r="AL274" s="4"/>
    </row>
    <row r="275" spans="10:39" x14ac:dyDescent="0.2">
      <c r="AL275" s="4"/>
    </row>
    <row r="276" spans="10:39" x14ac:dyDescent="0.2">
      <c r="J276" s="11"/>
      <c r="AL276" s="4"/>
    </row>
    <row r="277" spans="10:39" x14ac:dyDescent="0.2">
      <c r="AL277" s="4"/>
    </row>
    <row r="278" spans="10:39" x14ac:dyDescent="0.2">
      <c r="AL278" s="4"/>
    </row>
    <row r="279" spans="10:39" ht="13.5" thickBot="1" x14ac:dyDescent="0.25">
      <c r="J279" s="11"/>
      <c r="AL279" s="4"/>
    </row>
    <row r="280" spans="10:39" ht="13.5" thickBot="1" x14ac:dyDescent="0.25">
      <c r="J280" s="11"/>
      <c r="T280" s="614" t="s">
        <v>502</v>
      </c>
      <c r="U280" s="615"/>
      <c r="V280" s="615"/>
    </row>
    <row r="281" spans="10:39" x14ac:dyDescent="0.2">
      <c r="J281" s="11"/>
      <c r="T281" s="461" t="s">
        <v>205</v>
      </c>
      <c r="U281" s="462" t="s">
        <v>504</v>
      </c>
      <c r="V281" s="462" t="s">
        <v>499</v>
      </c>
      <c r="AM281" s="4"/>
    </row>
    <row r="282" spans="10:39" x14ac:dyDescent="0.2">
      <c r="J282" s="11"/>
      <c r="T282" s="452">
        <v>3</v>
      </c>
      <c r="U282" s="453">
        <f t="shared" ref="U282:U291" si="228">V282/$V$290</f>
        <v>0.72929037751472525</v>
      </c>
      <c r="V282" s="2">
        <f>(V283/V287)*V284</f>
        <v>1888.8620777631384</v>
      </c>
      <c r="AM282" s="4"/>
    </row>
    <row r="283" spans="10:39" x14ac:dyDescent="0.2">
      <c r="J283" s="11"/>
      <c r="T283" s="455">
        <v>5</v>
      </c>
      <c r="U283" s="456">
        <f t="shared" si="228"/>
        <v>0.79101166159768732</v>
      </c>
      <c r="V283" s="457">
        <f>(V284/V288)*V285</f>
        <v>2048.7202035380101</v>
      </c>
      <c r="AM283" s="4"/>
    </row>
    <row r="284" spans="10:39" ht="13.5" thickBot="1" x14ac:dyDescent="0.25">
      <c r="T284" s="452">
        <v>8</v>
      </c>
      <c r="U284" s="453">
        <f t="shared" si="228"/>
        <v>0.85077698714062355</v>
      </c>
      <c r="V284" s="2">
        <f>(V285/V288)*V286</f>
        <v>2203.5123966942151</v>
      </c>
      <c r="X284" s="123" t="s">
        <v>690</v>
      </c>
      <c r="Z284" s="4"/>
      <c r="AC284" s="123"/>
      <c r="AE284" s="3"/>
      <c r="AH284" s="123" t="s">
        <v>673</v>
      </c>
      <c r="AI284" s="123" t="s">
        <v>672</v>
      </c>
      <c r="AM284" s="4"/>
    </row>
    <row r="285" spans="10:39" ht="13.5" thickBot="1" x14ac:dyDescent="0.25">
      <c r="T285" s="455">
        <v>10</v>
      </c>
      <c r="U285" s="456">
        <f t="shared" si="228"/>
        <v>0.86872586872586877</v>
      </c>
      <c r="V285" s="457">
        <f>V288-(V290-V288)</f>
        <v>2250</v>
      </c>
      <c r="X285" s="123" t="s">
        <v>679</v>
      </c>
      <c r="Y285" s="123" t="s">
        <v>680</v>
      </c>
      <c r="Z285" s="614" t="s">
        <v>666</v>
      </c>
      <c r="AA285" s="615"/>
      <c r="AB285" s="615"/>
      <c r="AC285" s="631"/>
      <c r="AD285" s="123" t="s">
        <v>667</v>
      </c>
      <c r="AE285" s="123"/>
      <c r="AF285" s="123"/>
      <c r="AG285" s="123" t="s">
        <v>670</v>
      </c>
      <c r="AH285" s="123" t="s">
        <v>55</v>
      </c>
      <c r="AI285" s="123" t="s">
        <v>238</v>
      </c>
      <c r="AJ285" s="464" t="s">
        <v>239</v>
      </c>
      <c r="AK285" s="464" t="s">
        <v>240</v>
      </c>
      <c r="AM285" s="4"/>
    </row>
    <row r="286" spans="10:39" x14ac:dyDescent="0.2">
      <c r="L286" s="633" t="s">
        <v>488</v>
      </c>
      <c r="M286" s="633"/>
      <c r="N286" s="633"/>
      <c r="O286" s="633"/>
      <c r="P286" s="633"/>
      <c r="Q286" s="633"/>
      <c r="T286" s="452">
        <v>15</v>
      </c>
      <c r="U286" s="453">
        <f t="shared" si="228"/>
        <v>0.91505791505791501</v>
      </c>
      <c r="V286" s="2">
        <v>2370</v>
      </c>
      <c r="X286" s="4">
        <v>1429</v>
      </c>
      <c r="Y286" s="4">
        <v>2.9449999999999998</v>
      </c>
      <c r="Z286" s="461" t="s">
        <v>664</v>
      </c>
      <c r="AA286" s="462" t="s">
        <v>653</v>
      </c>
      <c r="AB286" s="462" t="s">
        <v>654</v>
      </c>
      <c r="AC286" s="463" t="s">
        <v>676</v>
      </c>
      <c r="AD286" s="123" t="s">
        <v>668</v>
      </c>
      <c r="AG286" s="632" t="s">
        <v>669</v>
      </c>
      <c r="AH286" s="632"/>
      <c r="AM286" s="4"/>
    </row>
    <row r="287" spans="10:39" x14ac:dyDescent="0.2">
      <c r="K287" s="123" t="s">
        <v>682</v>
      </c>
      <c r="L287" s="123" t="s">
        <v>671</v>
      </c>
      <c r="M287" s="123" t="s">
        <v>681</v>
      </c>
      <c r="N287" s="3" t="s">
        <v>496</v>
      </c>
      <c r="O287" s="4" t="s">
        <v>494</v>
      </c>
      <c r="P287" s="340" t="s">
        <v>497</v>
      </c>
      <c r="Q287" s="4" t="s">
        <v>493</v>
      </c>
      <c r="T287" s="455">
        <v>18</v>
      </c>
      <c r="U287" s="456">
        <f t="shared" si="228"/>
        <v>0.92277992277992282</v>
      </c>
      <c r="V287" s="457">
        <v>2390</v>
      </c>
      <c r="X287" s="4"/>
      <c r="Y287" s="4"/>
      <c r="Z287" s="452" t="s">
        <v>655</v>
      </c>
      <c r="AA287" s="453" t="s">
        <v>659</v>
      </c>
      <c r="AB287" s="2">
        <v>35</v>
      </c>
      <c r="AC287" s="454">
        <v>3.33</v>
      </c>
      <c r="AD287" s="3">
        <v>630</v>
      </c>
      <c r="AG287" s="410">
        <v>6.8</v>
      </c>
      <c r="AH287" s="495">
        <f>AG287/AG290</f>
        <v>2.8333333333333335</v>
      </c>
      <c r="AI287" s="469">
        <f>$X$286+$Y$286*(AH287/1)*$K$289</f>
        <v>2096.5333333333333</v>
      </c>
      <c r="AJ287" s="469">
        <f>$X$286+$Y$286*(AH287/1)*$K$290</f>
        <v>2221.6958333333332</v>
      </c>
      <c r="AK287" s="469">
        <f>$X$286+$Y$286*(AH287/1)*$K$291</f>
        <v>2413.6116666666667</v>
      </c>
      <c r="AM287" s="4"/>
    </row>
    <row r="288" spans="10:39" x14ac:dyDescent="0.2">
      <c r="K288" s="3">
        <v>98</v>
      </c>
      <c r="M288" s="4">
        <v>111</v>
      </c>
      <c r="N288" s="4" t="s">
        <v>241</v>
      </c>
      <c r="O288" s="4">
        <v>24</v>
      </c>
      <c r="P288" s="4">
        <f>O288/M288</f>
        <v>0.21621621621621623</v>
      </c>
      <c r="Q288" s="4">
        <f>O288*1.25</f>
        <v>30</v>
      </c>
      <c r="T288" s="452">
        <v>20</v>
      </c>
      <c r="U288" s="453">
        <f t="shared" si="228"/>
        <v>0.93436293436293438</v>
      </c>
      <c r="V288" s="2">
        <f>AVERAGE(V287,V289)</f>
        <v>2420</v>
      </c>
      <c r="X288" s="4"/>
      <c r="Y288" s="4"/>
      <c r="Z288" s="455" t="s">
        <v>467</v>
      </c>
      <c r="AA288" s="456" t="s">
        <v>660</v>
      </c>
      <c r="AB288" s="457">
        <v>40</v>
      </c>
      <c r="AC288" s="458">
        <v>3.16</v>
      </c>
      <c r="AD288" s="4">
        <v>630</v>
      </c>
      <c r="AG288" s="3">
        <v>4.3</v>
      </c>
      <c r="AH288" s="495">
        <f>AG288/AG290</f>
        <v>1.7916666666666667</v>
      </c>
      <c r="AI288" s="469">
        <f>$X$286+$Y$286*(AH288/1)*$K$289</f>
        <v>1851.1166666666668</v>
      </c>
      <c r="AJ288" s="469">
        <f t="shared" ref="AJ288:AJ289" si="229">$X$286+$Y$286*(AH288/1)*$K$290</f>
        <v>1930.2635416666667</v>
      </c>
      <c r="AK288" s="469">
        <f t="shared" ref="AK288:AK289" si="230">$X$286+$Y$286*(AH288/1)*$K$291</f>
        <v>2051.6220833333332</v>
      </c>
      <c r="AL288" s="4"/>
      <c r="AM288" s="4"/>
    </row>
    <row r="289" spans="8:39" x14ac:dyDescent="0.2">
      <c r="K289" s="3">
        <v>80</v>
      </c>
      <c r="L289" s="3">
        <v>5</v>
      </c>
      <c r="M289" s="4">
        <v>70</v>
      </c>
      <c r="N289" s="4" t="s">
        <v>489</v>
      </c>
      <c r="O289" s="4">
        <v>15</v>
      </c>
      <c r="P289" s="4">
        <f>O289/M289</f>
        <v>0.21428571428571427</v>
      </c>
      <c r="Q289" s="4">
        <f>O289*1.25</f>
        <v>18.75</v>
      </c>
      <c r="T289" s="455">
        <v>24</v>
      </c>
      <c r="U289" s="456">
        <f t="shared" si="228"/>
        <v>0.94594594594594594</v>
      </c>
      <c r="V289" s="457">
        <v>2450</v>
      </c>
      <c r="X289" s="4"/>
      <c r="Y289" s="4"/>
      <c r="Z289" s="452" t="s">
        <v>656</v>
      </c>
      <c r="AA289" s="453" t="s">
        <v>661</v>
      </c>
      <c r="AB289" s="2">
        <v>45</v>
      </c>
      <c r="AC289" s="454">
        <v>2.84</v>
      </c>
      <c r="AD289" s="4">
        <v>630</v>
      </c>
      <c r="AG289" s="410">
        <v>3.1</v>
      </c>
      <c r="AH289" s="495">
        <f>AG289/AG290</f>
        <v>1.2916666666666667</v>
      </c>
      <c r="AI289" s="469">
        <f>$X$286+$Y$286*(AH289/1)*$K$289</f>
        <v>1733.3166666666666</v>
      </c>
      <c r="AJ289" s="469">
        <f t="shared" si="229"/>
        <v>1790.3760416666667</v>
      </c>
      <c r="AK289" s="469">
        <f t="shared" si="230"/>
        <v>1877.8670833333333</v>
      </c>
      <c r="AL289" s="4"/>
      <c r="AM289" s="4"/>
    </row>
    <row r="290" spans="8:39" x14ac:dyDescent="0.2">
      <c r="K290" s="3">
        <v>95</v>
      </c>
      <c r="L290" s="3">
        <v>7</v>
      </c>
      <c r="M290" s="4">
        <v>99</v>
      </c>
      <c r="N290" s="4" t="s">
        <v>490</v>
      </c>
      <c r="O290" s="4">
        <v>20</v>
      </c>
      <c r="P290" s="4">
        <f>O290/M290</f>
        <v>0.20202020202020202</v>
      </c>
      <c r="Q290" s="4">
        <f>O290*1.25</f>
        <v>25</v>
      </c>
      <c r="T290" s="452">
        <v>30</v>
      </c>
      <c r="U290" s="453">
        <f t="shared" si="228"/>
        <v>1</v>
      </c>
      <c r="V290" s="2">
        <v>2590</v>
      </c>
      <c r="X290" s="4"/>
      <c r="Y290" s="4"/>
      <c r="Z290" s="455" t="s">
        <v>657</v>
      </c>
      <c r="AA290" s="456" t="s">
        <v>662</v>
      </c>
      <c r="AB290" s="457">
        <v>50</v>
      </c>
      <c r="AC290" s="458">
        <v>2.6</v>
      </c>
      <c r="AD290" s="4">
        <v>630</v>
      </c>
      <c r="AG290" s="457">
        <v>2.4</v>
      </c>
      <c r="AH290" s="3">
        <v>1</v>
      </c>
      <c r="AI290" s="469">
        <f>$AD$291*$L$289*(AH290-1)</f>
        <v>0</v>
      </c>
      <c r="AJ290" s="469">
        <f>$AD$291*$L$290*(AH290-1)</f>
        <v>0</v>
      </c>
      <c r="AK290" s="469">
        <f>$AD$291*$L$291*(AH290-1)</f>
        <v>0</v>
      </c>
      <c r="AL290" s="4"/>
    </row>
    <row r="291" spans="8:39" ht="13.5" thickBot="1" x14ac:dyDescent="0.25">
      <c r="K291" s="3">
        <v>118</v>
      </c>
      <c r="L291" s="3">
        <v>10</v>
      </c>
      <c r="M291" s="4">
        <v>150</v>
      </c>
      <c r="N291" s="4" t="s">
        <v>491</v>
      </c>
      <c r="O291" s="4">
        <v>30</v>
      </c>
      <c r="P291" s="4">
        <f>O291/M291</f>
        <v>0.2</v>
      </c>
      <c r="Q291" s="4">
        <f>O291*1.25</f>
        <v>37.5</v>
      </c>
      <c r="T291" s="455">
        <v>35</v>
      </c>
      <c r="U291" s="456">
        <f t="shared" si="228"/>
        <v>1.0791505791505791</v>
      </c>
      <c r="V291" s="457">
        <v>2795</v>
      </c>
      <c r="Z291" s="459" t="s">
        <v>658</v>
      </c>
      <c r="AA291" s="460" t="s">
        <v>663</v>
      </c>
      <c r="AB291" s="460" t="s">
        <v>665</v>
      </c>
      <c r="AC291" s="470">
        <v>2.35</v>
      </c>
      <c r="AD291" s="4">
        <v>630</v>
      </c>
      <c r="AG291" s="410">
        <v>1.9</v>
      </c>
      <c r="AH291" s="3">
        <v>1</v>
      </c>
      <c r="AI291" s="469">
        <f>$AD$291*$L$289*(AH291-1)</f>
        <v>0</v>
      </c>
      <c r="AJ291" s="469">
        <f>$AD$291*$L$290*(AH291-1)</f>
        <v>0</v>
      </c>
      <c r="AK291" s="469">
        <f>$AD$291*$L$291*(AH291-1)</f>
        <v>0</v>
      </c>
      <c r="AL291" s="4"/>
    </row>
    <row r="292" spans="8:39" x14ac:dyDescent="0.2">
      <c r="M292" s="4"/>
      <c r="N292" s="4"/>
      <c r="O292" s="4"/>
      <c r="P292" s="4"/>
      <c r="Q292" s="4"/>
    </row>
    <row r="293" spans="8:39" x14ac:dyDescent="0.2">
      <c r="M293" s="4" t="s">
        <v>492</v>
      </c>
      <c r="N293" s="4"/>
      <c r="O293" s="4"/>
      <c r="P293" s="4"/>
      <c r="Q293" s="4"/>
    </row>
    <row r="294" spans="8:39" x14ac:dyDescent="0.2">
      <c r="M294" s="4" t="s">
        <v>495</v>
      </c>
      <c r="N294" s="4"/>
      <c r="O294" s="4"/>
      <c r="P294" s="4"/>
      <c r="Q294" s="4"/>
    </row>
    <row r="295" spans="8:39" x14ac:dyDescent="0.2">
      <c r="M295" s="200" t="s">
        <v>500</v>
      </c>
      <c r="AB295" s="4"/>
      <c r="AC295" s="4"/>
      <c r="AD295" s="4"/>
    </row>
    <row r="296" spans="8:39" ht="13.5" thickBot="1" x14ac:dyDescent="0.25">
      <c r="H296" s="4"/>
      <c r="I296" s="4"/>
      <c r="J296" s="4"/>
      <c r="K296" s="4"/>
      <c r="M296" s="3" t="s">
        <v>501</v>
      </c>
      <c r="AB296" s="4"/>
      <c r="AC296" s="123"/>
      <c r="AD296" s="4"/>
      <c r="AI296" s="4"/>
      <c r="AJ296" s="4"/>
      <c r="AK296" s="4"/>
    </row>
    <row r="297" spans="8:39" x14ac:dyDescent="0.2">
      <c r="H297" s="4"/>
      <c r="I297" s="4"/>
      <c r="J297" s="4"/>
      <c r="K297" s="4"/>
      <c r="AB297" s="634" t="s">
        <v>675</v>
      </c>
      <c r="AC297" s="634"/>
      <c r="AD297" s="634"/>
      <c r="AE297" s="634"/>
      <c r="AF297" s="509"/>
      <c r="AH297" s="616" t="s">
        <v>672</v>
      </c>
      <c r="AI297" s="617"/>
      <c r="AJ297" s="618"/>
      <c r="AK297" s="505" t="s">
        <v>65</v>
      </c>
      <c r="AL297" s="506"/>
    </row>
    <row r="298" spans="8:39" ht="13.5" thickBot="1" x14ac:dyDescent="0.25">
      <c r="H298" s="4"/>
      <c r="I298" s="4"/>
      <c r="J298" s="4"/>
      <c r="K298" s="4"/>
      <c r="AB298" s="4"/>
      <c r="AC298" s="4" t="s">
        <v>238</v>
      </c>
      <c r="AD298" s="4" t="s">
        <v>239</v>
      </c>
      <c r="AE298" s="4" t="s">
        <v>240</v>
      </c>
      <c r="AH298" s="488" t="s">
        <v>238</v>
      </c>
      <c r="AI298" s="489" t="s">
        <v>239</v>
      </c>
      <c r="AJ298" s="490" t="s">
        <v>240</v>
      </c>
      <c r="AK298" s="491" t="s">
        <v>238</v>
      </c>
      <c r="AL298" s="489" t="s">
        <v>239</v>
      </c>
      <c r="AM298" s="4"/>
    </row>
    <row r="299" spans="8:39" x14ac:dyDescent="0.2">
      <c r="H299" s="4"/>
      <c r="I299" s="4"/>
      <c r="J299" s="4"/>
      <c r="K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123" t="s">
        <v>674</v>
      </c>
      <c r="AC299" s="465">
        <v>1.5</v>
      </c>
      <c r="AD299" s="465">
        <v>1.54</v>
      </c>
      <c r="AE299" s="465">
        <v>1.95</v>
      </c>
      <c r="AF299" s="465"/>
      <c r="AG299" s="123" t="s">
        <v>674</v>
      </c>
      <c r="AH299" s="471">
        <v>0</v>
      </c>
      <c r="AI299" s="472">
        <v>0</v>
      </c>
      <c r="AJ299" s="473">
        <v>0</v>
      </c>
      <c r="AK299" s="472">
        <v>1</v>
      </c>
      <c r="AL299" s="472">
        <v>1</v>
      </c>
      <c r="AM299" s="4"/>
    </row>
    <row r="300" spans="8:39" x14ac:dyDescent="0.2"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123" t="s">
        <v>233</v>
      </c>
      <c r="AC300" s="465">
        <v>1.98</v>
      </c>
      <c r="AD300" s="465">
        <v>2.3199999999999998</v>
      </c>
      <c r="AE300" s="468">
        <v>2.61</v>
      </c>
      <c r="AF300" s="468"/>
      <c r="AG300" s="123" t="s">
        <v>233</v>
      </c>
      <c r="AH300" s="471">
        <v>0</v>
      </c>
      <c r="AI300" s="472">
        <v>0</v>
      </c>
      <c r="AJ300" s="483">
        <f>AK289</f>
        <v>1877.8670833333333</v>
      </c>
      <c r="AK300" s="472">
        <v>1</v>
      </c>
      <c r="AL300" s="472">
        <v>1</v>
      </c>
      <c r="AM300" s="4"/>
    </row>
    <row r="301" spans="8:39" x14ac:dyDescent="0.2"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123" t="s">
        <v>234</v>
      </c>
      <c r="AC301" s="465">
        <v>2.23</v>
      </c>
      <c r="AD301" s="468">
        <v>2.85</v>
      </c>
      <c r="AE301" s="468">
        <v>3.01</v>
      </c>
      <c r="AF301" s="468"/>
      <c r="AG301" s="123" t="s">
        <v>234</v>
      </c>
      <c r="AH301" s="471">
        <v>0</v>
      </c>
      <c r="AI301" s="481">
        <f>AJ289</f>
        <v>1790.3760416666667</v>
      </c>
      <c r="AJ301" s="483">
        <f>AK289</f>
        <v>1877.8670833333333</v>
      </c>
      <c r="AK301" s="472">
        <v>1</v>
      </c>
      <c r="AL301" s="475">
        <f>AC289/AC287</f>
        <v>0.85285285285285284</v>
      </c>
      <c r="AM301" s="4"/>
    </row>
    <row r="302" spans="8:39" x14ac:dyDescent="0.2"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123" t="s">
        <v>235</v>
      </c>
      <c r="AC302" s="468">
        <v>2.7</v>
      </c>
      <c r="AD302" s="468">
        <v>3.5</v>
      </c>
      <c r="AE302" s="467">
        <v>3.78</v>
      </c>
      <c r="AF302" s="467"/>
      <c r="AG302" s="123" t="s">
        <v>235</v>
      </c>
      <c r="AH302" s="481">
        <f>AI289</f>
        <v>1733.3166666666666</v>
      </c>
      <c r="AI302" s="481">
        <f>AJ289</f>
        <v>1790.3760416666667</v>
      </c>
      <c r="AJ302" s="485">
        <f>AK288</f>
        <v>2051.6220833333332</v>
      </c>
      <c r="AK302" s="475">
        <f>AC289/AC287</f>
        <v>0.85285285285285284</v>
      </c>
      <c r="AL302" s="475">
        <f>AC289/AC287</f>
        <v>0.85285285285285284</v>
      </c>
    </row>
    <row r="303" spans="8:39" x14ac:dyDescent="0.2"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123" t="s">
        <v>236</v>
      </c>
      <c r="AC303" s="468">
        <v>3.3</v>
      </c>
      <c r="AD303" s="467">
        <v>4.1100000000000003</v>
      </c>
      <c r="AE303" s="467">
        <v>4.5</v>
      </c>
      <c r="AF303" s="467"/>
      <c r="AG303" s="123" t="s">
        <v>236</v>
      </c>
      <c r="AH303" s="481">
        <f>AI289</f>
        <v>1733.3166666666666</v>
      </c>
      <c r="AI303" s="484">
        <f>AJ288</f>
        <v>1930.2635416666667</v>
      </c>
      <c r="AJ303" s="485">
        <f>AK288</f>
        <v>2051.6220833333332</v>
      </c>
      <c r="AK303" s="475">
        <f>AC290/AC288</f>
        <v>0.82278481012658222</v>
      </c>
      <c r="AL303" s="486">
        <f>AC290/AC287</f>
        <v>0.78078078078078084</v>
      </c>
    </row>
    <row r="304" spans="8:39" ht="13.5" thickBot="1" x14ac:dyDescent="0.25"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123" t="s">
        <v>237</v>
      </c>
      <c r="AC304" s="466">
        <v>4.8</v>
      </c>
      <c r="AD304" s="466">
        <v>5.0999999999999996</v>
      </c>
      <c r="AE304" s="466">
        <v>6</v>
      </c>
      <c r="AF304" s="466"/>
      <c r="AG304" s="123" t="s">
        <v>237</v>
      </c>
      <c r="AH304" s="478">
        <f>AI287</f>
        <v>2096.5333333333333</v>
      </c>
      <c r="AI304" s="479">
        <f>AJ287</f>
        <v>2221.6958333333332</v>
      </c>
      <c r="AJ304" s="480">
        <f>AK287</f>
        <v>2413.6116666666667</v>
      </c>
      <c r="AK304" s="476">
        <f>AC291/AC287</f>
        <v>0.70570570570570568</v>
      </c>
      <c r="AL304" s="476">
        <f>AC291/AC287</f>
        <v>0.70570570570570568</v>
      </c>
    </row>
    <row r="305" spans="8:39" x14ac:dyDescent="0.2"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G305" s="4"/>
      <c r="AH305" s="4"/>
      <c r="AI305" s="4"/>
      <c r="AJ305" s="4"/>
      <c r="AK305" s="4"/>
    </row>
    <row r="306" spans="8:39" ht="13.5" thickBot="1" x14ac:dyDescent="0.25"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G306" s="4"/>
      <c r="AH306" s="123" t="s">
        <v>677</v>
      </c>
      <c r="AI306" s="4"/>
      <c r="AJ306" s="4"/>
      <c r="AK306" s="4"/>
    </row>
    <row r="307" spans="8:39" x14ac:dyDescent="0.2"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G307" s="4"/>
      <c r="AH307" s="616" t="s">
        <v>672</v>
      </c>
      <c r="AI307" s="617"/>
      <c r="AJ307" s="618"/>
      <c r="AK307" s="505" t="s">
        <v>65</v>
      </c>
      <c r="AL307" s="506"/>
      <c r="AM307" s="507"/>
    </row>
    <row r="308" spans="8:39" ht="13.5" thickBot="1" x14ac:dyDescent="0.25"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G308" s="4"/>
      <c r="AH308" s="488" t="s">
        <v>238</v>
      </c>
      <c r="AI308" s="489" t="s">
        <v>239</v>
      </c>
      <c r="AJ308" s="490" t="s">
        <v>240</v>
      </c>
      <c r="AK308" s="491" t="s">
        <v>238</v>
      </c>
      <c r="AL308" s="489" t="s">
        <v>239</v>
      </c>
      <c r="AM308" s="490" t="s">
        <v>240</v>
      </c>
    </row>
    <row r="309" spans="8:39" x14ac:dyDescent="0.2"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G309" s="123" t="s">
        <v>674</v>
      </c>
      <c r="AH309" s="471">
        <v>0</v>
      </c>
      <c r="AI309" s="472">
        <v>0</v>
      </c>
      <c r="AJ309" s="473">
        <v>0</v>
      </c>
      <c r="AK309" s="498">
        <v>1</v>
      </c>
      <c r="AL309" s="499">
        <v>1</v>
      </c>
      <c r="AM309" s="473">
        <v>1</v>
      </c>
    </row>
    <row r="310" spans="8:39" x14ac:dyDescent="0.2">
      <c r="AG310" s="123" t="s">
        <v>233</v>
      </c>
      <c r="AH310" s="496">
        <f>AH309+(AH312-AH309)*0.33</f>
        <v>571.99450000000002</v>
      </c>
      <c r="AI310" s="497">
        <f>AI311/2</f>
        <v>895.18802083333333</v>
      </c>
      <c r="AJ310" s="483">
        <f>AJ300</f>
        <v>1877.8670833333333</v>
      </c>
      <c r="AK310" s="498">
        <f>AK309+(AK312-AK309)*0.33</f>
        <v>0.95144144144144138</v>
      </c>
      <c r="AL310" s="499">
        <f>(AL309+AL311)/2</f>
        <v>0.92642642642642636</v>
      </c>
      <c r="AM310" s="474">
        <f>AC289/AC287</f>
        <v>0.85285285285285284</v>
      </c>
    </row>
    <row r="311" spans="8:39" x14ac:dyDescent="0.2">
      <c r="AG311" s="123" t="s">
        <v>234</v>
      </c>
      <c r="AH311" s="496">
        <f>AH309+(AH312-AH309)*0.66</f>
        <v>1143.989</v>
      </c>
      <c r="AI311" s="482">
        <f>AI301</f>
        <v>1790.3760416666667</v>
      </c>
      <c r="AJ311" s="483">
        <f>AJ310+(AJ312-AJ310)/2</f>
        <v>1964.7445833333331</v>
      </c>
      <c r="AK311" s="498">
        <f>AK309+(AK312-AK309)*0.66</f>
        <v>0.90288288288288288</v>
      </c>
      <c r="AL311" s="475">
        <f>AL301</f>
        <v>0.85285285285285284</v>
      </c>
      <c r="AM311" s="474">
        <f>AC289/AC287</f>
        <v>0.85285285285285284</v>
      </c>
    </row>
    <row r="312" spans="8:39" x14ac:dyDescent="0.2">
      <c r="AG312" s="123" t="s">
        <v>235</v>
      </c>
      <c r="AH312" s="481">
        <f>AH302</f>
        <v>1733.3166666666666</v>
      </c>
      <c r="AI312" s="482">
        <f>AI311+(AI313-AI311)/2</f>
        <v>1860.3197916666668</v>
      </c>
      <c r="AJ312" s="485">
        <f>AJ302</f>
        <v>2051.6220833333332</v>
      </c>
      <c r="AK312" s="501">
        <f>AK302</f>
        <v>0.85285285285285284</v>
      </c>
      <c r="AL312" s="475">
        <f>AL311+(AL314-AL311)/3</f>
        <v>0.80380380380380378</v>
      </c>
      <c r="AM312" s="487">
        <f>AC290/AC287</f>
        <v>0.78078078078078084</v>
      </c>
    </row>
    <row r="313" spans="8:39" x14ac:dyDescent="0.2">
      <c r="AG313" s="123" t="s">
        <v>236</v>
      </c>
      <c r="AH313" s="481">
        <f>(AH314+AH312)/2</f>
        <v>1914.925</v>
      </c>
      <c r="AI313" s="484">
        <f>AI303</f>
        <v>1930.2635416666667</v>
      </c>
      <c r="AJ313" s="485">
        <f>AJ312+(AJ314-AJ312)/2</f>
        <v>2232.6168749999997</v>
      </c>
      <c r="AK313" s="501">
        <f>(AK314+AK312)/2</f>
        <v>0.77927927927927931</v>
      </c>
      <c r="AL313" s="486">
        <f>AL312+(AL314-AL311)/3</f>
        <v>0.75475475475475473</v>
      </c>
      <c r="AM313" s="487">
        <f>AC290/AC287</f>
        <v>0.78078078078078084</v>
      </c>
    </row>
    <row r="314" spans="8:39" ht="13.5" thickBot="1" x14ac:dyDescent="0.25">
      <c r="AG314" s="123" t="s">
        <v>237</v>
      </c>
      <c r="AH314" s="492">
        <f>AH304</f>
        <v>2096.5333333333333</v>
      </c>
      <c r="AI314" s="479">
        <f>AI304</f>
        <v>2221.6958333333332</v>
      </c>
      <c r="AJ314" s="480">
        <f>AJ304</f>
        <v>2413.6116666666667</v>
      </c>
      <c r="AK314" s="502">
        <f t="shared" ref="AK314" si="231">AK304</f>
        <v>0.70570570570570568</v>
      </c>
      <c r="AL314" s="476">
        <f>AL304</f>
        <v>0.70570570570570568</v>
      </c>
      <c r="AM314" s="477">
        <f>AC291/AC287</f>
        <v>0.70570570570570568</v>
      </c>
    </row>
    <row r="315" spans="8:39" x14ac:dyDescent="0.2">
      <c r="AH315" s="4"/>
      <c r="AI315" s="4"/>
      <c r="AJ315" s="4"/>
      <c r="AK315" s="4"/>
    </row>
    <row r="316" spans="8:39" ht="13.5" thickBot="1" x14ac:dyDescent="0.25">
      <c r="AH316" s="4"/>
      <c r="AI316" s="4"/>
      <c r="AJ316" s="4"/>
      <c r="AK316" s="4"/>
    </row>
    <row r="317" spans="8:39" x14ac:dyDescent="0.2">
      <c r="AH317" s="4"/>
      <c r="AI317" s="4"/>
      <c r="AJ317" s="4"/>
      <c r="AK317" s="4"/>
      <c r="AM317" s="507"/>
    </row>
    <row r="318" spans="8:39" ht="13.5" thickBot="1" x14ac:dyDescent="0.25">
      <c r="AH318" s="4"/>
      <c r="AI318" s="4"/>
      <c r="AJ318" s="4"/>
      <c r="AK318" s="4"/>
      <c r="AM318" s="490" t="s">
        <v>240</v>
      </c>
    </row>
    <row r="319" spans="8:39" x14ac:dyDescent="0.2">
      <c r="AM319" s="500">
        <v>1</v>
      </c>
    </row>
    <row r="320" spans="8:39" x14ac:dyDescent="0.2">
      <c r="AM320" s="474">
        <f>AM310</f>
        <v>0.85285285285285284</v>
      </c>
    </row>
    <row r="321" spans="39:39" x14ac:dyDescent="0.2">
      <c r="AM321" s="474">
        <f>AM320+(AM324-AM320)/4</f>
        <v>0.81606606606606602</v>
      </c>
    </row>
    <row r="322" spans="39:39" x14ac:dyDescent="0.2">
      <c r="AM322" s="487">
        <f>AM321+(AM324-AM320)/4</f>
        <v>0.7792792792792792</v>
      </c>
    </row>
    <row r="323" spans="39:39" x14ac:dyDescent="0.2">
      <c r="AM323" s="487">
        <f>AM322+(AM324-AM320)/4</f>
        <v>0.74249249249249238</v>
      </c>
    </row>
    <row r="324" spans="39:39" ht="13.5" thickBot="1" x14ac:dyDescent="0.25">
      <c r="AM324" s="477">
        <f>AM314</f>
        <v>0.70570570570570568</v>
      </c>
    </row>
  </sheetData>
  <mergeCells count="37">
    <mergeCell ref="Z285:AC285"/>
    <mergeCell ref="AG286:AH286"/>
    <mergeCell ref="L286:Q286"/>
    <mergeCell ref="AB297:AE297"/>
    <mergeCell ref="AH297:AJ297"/>
    <mergeCell ref="H180:K180"/>
    <mergeCell ref="L180:O180"/>
    <mergeCell ref="P180:S180"/>
    <mergeCell ref="T180:U180"/>
    <mergeCell ref="V180:Y180"/>
    <mergeCell ref="H178:K178"/>
    <mergeCell ref="L178:O178"/>
    <mergeCell ref="P178:S178"/>
    <mergeCell ref="T178:U178"/>
    <mergeCell ref="V178:Y178"/>
    <mergeCell ref="V81:Y81"/>
    <mergeCell ref="H83:K83"/>
    <mergeCell ref="L83:O83"/>
    <mergeCell ref="P83:S83"/>
    <mergeCell ref="T83:U83"/>
    <mergeCell ref="V83:Y83"/>
    <mergeCell ref="T280:V280"/>
    <mergeCell ref="AH307:AJ30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81:K81"/>
    <mergeCell ref="L81:O81"/>
    <mergeCell ref="P81:S81"/>
    <mergeCell ref="T81:U81"/>
  </mergeCells>
  <phoneticPr fontId="4" type="noConversion"/>
  <dataValidations count="1">
    <dataValidation type="list" allowBlank="1" showInputMessage="1" showErrorMessage="1" sqref="A2" xr:uid="{DB349058-CDBC-4FF8-83F0-51FDDBF42746}">
      <formula1>$A$5:$A$6</formula1>
    </dataValidation>
  </dataValidations>
  <hyperlinks>
    <hyperlink ref="M29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619" t="s">
        <v>86</v>
      </c>
      <c r="M5" s="620"/>
      <c r="N5" s="620"/>
      <c r="O5" s="621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628" t="s">
        <v>487</v>
      </c>
      <c r="M6" s="630"/>
      <c r="N6" s="630"/>
      <c r="O6" s="629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9" t="s">
        <v>86</v>
      </c>
      <c r="M33" s="620"/>
      <c r="N33" s="620"/>
      <c r="O33" s="621"/>
    </row>
    <row r="34" spans="8:15" x14ac:dyDescent="0.2">
      <c r="H34" s="3" t="s">
        <v>130</v>
      </c>
      <c r="L34" s="628" t="s">
        <v>91</v>
      </c>
      <c r="M34" s="630"/>
      <c r="N34" s="630"/>
      <c r="O34" s="629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625" t="s">
        <v>65</v>
      </c>
      <c r="I4" s="626"/>
      <c r="J4" s="627"/>
      <c r="K4" s="619" t="s">
        <v>86</v>
      </c>
      <c r="L4" s="620"/>
      <c r="M4" s="621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635" t="s">
        <v>34</v>
      </c>
      <c r="I5" s="636"/>
      <c r="J5" s="637"/>
      <c r="K5" s="635" t="s">
        <v>276</v>
      </c>
      <c r="L5" s="636"/>
      <c r="M5" s="637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638" t="s">
        <v>522</v>
      </c>
      <c r="AC5" s="638"/>
      <c r="AD5" s="354"/>
      <c r="AE5" s="639" t="s">
        <v>65</v>
      </c>
      <c r="AF5" s="639"/>
      <c r="AG5" s="639" t="s">
        <v>523</v>
      </c>
      <c r="AH5" s="639"/>
      <c r="AI5" s="640" t="s">
        <v>524</v>
      </c>
      <c r="AJ5" s="640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619" t="s">
        <v>86</v>
      </c>
      <c r="M27" s="620"/>
      <c r="N27" s="620"/>
      <c r="O27" s="621"/>
      <c r="T27" s="202"/>
      <c r="U27" s="202"/>
    </row>
    <row r="28" spans="3:21" x14ac:dyDescent="0.2">
      <c r="J28" s="3" t="s">
        <v>130</v>
      </c>
      <c r="L28" s="622" t="s">
        <v>91</v>
      </c>
      <c r="M28" s="623"/>
      <c r="N28" s="623"/>
      <c r="O28" s="624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BA1" zoomScale="70" zoomScaleNormal="70" workbookViewId="0">
      <selection activeCell="CL18" sqref="CL18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641" t="s">
        <v>286</v>
      </c>
      <c r="E4" s="642"/>
      <c r="F4" s="642"/>
      <c r="G4" s="642"/>
      <c r="H4" s="643"/>
      <c r="I4" s="642" t="s">
        <v>287</v>
      </c>
      <c r="J4" s="642"/>
      <c r="K4" s="642"/>
      <c r="L4" s="642"/>
      <c r="M4" s="643"/>
      <c r="N4" s="642" t="s">
        <v>288</v>
      </c>
      <c r="O4" s="642"/>
      <c r="P4" s="642"/>
      <c r="Q4" s="642"/>
      <c r="R4" s="643"/>
      <c r="S4" s="642" t="s">
        <v>289</v>
      </c>
      <c r="T4" s="642"/>
      <c r="U4" s="642"/>
      <c r="V4" s="642"/>
      <c r="W4" s="643"/>
      <c r="X4" s="642" t="s">
        <v>290</v>
      </c>
      <c r="Y4" s="642"/>
      <c r="Z4" s="642"/>
      <c r="AA4" s="642"/>
      <c r="AB4" s="643"/>
      <c r="AC4" s="642" t="s">
        <v>291</v>
      </c>
      <c r="AD4" s="642"/>
      <c r="AE4" s="642"/>
      <c r="AF4" s="642"/>
      <c r="AG4" s="643"/>
      <c r="AH4" s="642" t="s">
        <v>292</v>
      </c>
      <c r="AI4" s="642"/>
      <c r="AJ4" s="642"/>
      <c r="AK4" s="642"/>
      <c r="AL4" s="643"/>
      <c r="AM4" s="642" t="s">
        <v>293</v>
      </c>
      <c r="AN4" s="642"/>
      <c r="AO4" s="642"/>
      <c r="AP4" s="642"/>
      <c r="AQ4" s="643"/>
      <c r="AR4" s="642" t="s">
        <v>294</v>
      </c>
      <c r="AS4" s="642"/>
      <c r="AT4" s="642"/>
      <c r="AU4" s="642"/>
      <c r="AV4" s="643"/>
      <c r="AW4" s="642" t="s">
        <v>295</v>
      </c>
      <c r="AX4" s="642"/>
      <c r="AY4" s="642"/>
      <c r="AZ4" s="642"/>
      <c r="BA4" s="642"/>
      <c r="BB4" s="641" t="s">
        <v>296</v>
      </c>
      <c r="BC4" s="642"/>
      <c r="BD4" s="642"/>
      <c r="BE4" s="642"/>
      <c r="BF4" s="643"/>
      <c r="BG4" s="642" t="s">
        <v>297</v>
      </c>
      <c r="BH4" s="642"/>
      <c r="BI4" s="642"/>
      <c r="BJ4" s="642"/>
      <c r="BK4" s="642"/>
      <c r="BL4" s="641" t="s">
        <v>298</v>
      </c>
      <c r="BM4" s="642"/>
      <c r="BN4" s="642"/>
      <c r="BO4" s="642"/>
      <c r="BP4" s="642"/>
      <c r="BQ4" s="641" t="s">
        <v>299</v>
      </c>
      <c r="BR4" s="642"/>
      <c r="BS4" s="642"/>
      <c r="BT4" s="642"/>
      <c r="BU4" s="643"/>
      <c r="BV4" s="254" t="s">
        <v>300</v>
      </c>
      <c r="BW4" s="644" t="s">
        <v>301</v>
      </c>
      <c r="BX4" s="645"/>
      <c r="BY4" s="645"/>
      <c r="BZ4" s="645"/>
      <c r="CA4" s="646"/>
      <c r="CB4" s="644" t="s">
        <v>302</v>
      </c>
      <c r="CC4" s="645"/>
      <c r="CD4" s="645"/>
      <c r="CE4" s="645"/>
      <c r="CF4" s="646"/>
      <c r="CG4" s="644" t="s">
        <v>303</v>
      </c>
      <c r="CH4" s="645"/>
      <c r="CI4" s="645"/>
      <c r="CJ4" s="645"/>
      <c r="CK4" s="646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2023-09-07T11:31:25Z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