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 defaultThemeVersion="124226"/>
  <xr:revisionPtr revIDLastSave="0" documentId="13_ncr:1_{F0CAFA25-087C-4342-AB96-47A5511213E8}" xr6:coauthVersionLast="47" xr6:coauthVersionMax="47" xr10:uidLastSave="{00000000-0000-0000-0000-000000000000}"/>
  <bookViews>
    <workbookView xWindow="-120" yWindow="-120" windowWidth="29040" windowHeight="15720" firstSheet="9" activeTab="13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8" i="28" l="1"/>
  <c r="V34" i="28"/>
  <c r="V33" i="28"/>
  <c r="R33" i="28"/>
  <c r="R34" i="28"/>
  <c r="V9" i="52"/>
  <c r="V8" i="52"/>
  <c r="V50" i="52"/>
  <c r="V49" i="52"/>
  <c r="V44" i="52"/>
  <c r="V38" i="52"/>
  <c r="V37" i="52"/>
  <c r="V36" i="52"/>
  <c r="V35" i="52"/>
  <c r="V34" i="52"/>
  <c r="V33" i="52"/>
  <c r="V24" i="52"/>
  <c r="V10" i="52"/>
  <c r="V9" i="51"/>
  <c r="V50" i="51"/>
  <c r="V49" i="51"/>
  <c r="V44" i="51"/>
  <c r="V36" i="51"/>
  <c r="V35" i="51"/>
  <c r="V34" i="51"/>
  <c r="V24" i="51"/>
  <c r="V23" i="51"/>
  <c r="V20" i="51"/>
  <c r="V18" i="51"/>
  <c r="V16" i="51"/>
  <c r="V14" i="51"/>
  <c r="V12" i="51"/>
  <c r="V11" i="51"/>
  <c r="V10" i="51"/>
  <c r="V8" i="51"/>
  <c r="V7" i="51"/>
  <c r="V50" i="28"/>
  <c r="V49" i="28"/>
  <c r="V46" i="28"/>
  <c r="V44" i="28"/>
  <c r="V40" i="28"/>
  <c r="V36" i="28"/>
  <c r="V35" i="28"/>
  <c r="V24" i="28"/>
  <c r="V23" i="28"/>
  <c r="V20" i="28"/>
  <c r="V18" i="28"/>
  <c r="V16" i="28"/>
  <c r="V14" i="28"/>
  <c r="V12" i="28"/>
  <c r="V11" i="28"/>
  <c r="V10" i="28"/>
  <c r="V9" i="28"/>
  <c r="V8" i="28"/>
  <c r="V7" i="28"/>
  <c r="AC50" i="52"/>
  <c r="AC49" i="52"/>
  <c r="AC48" i="52"/>
  <c r="AC47" i="52"/>
  <c r="AC46" i="52"/>
  <c r="AC44" i="52"/>
  <c r="AC42" i="52"/>
  <c r="AC40" i="52"/>
  <c r="AC38" i="52"/>
  <c r="AC37" i="52"/>
  <c r="AC36" i="52"/>
  <c r="AC35" i="52"/>
  <c r="AC34" i="52"/>
  <c r="AC33" i="52"/>
  <c r="AC24" i="52"/>
  <c r="AC23" i="52"/>
  <c r="AC22" i="52"/>
  <c r="AC21" i="52"/>
  <c r="AC20" i="52"/>
  <c r="AC18" i="52"/>
  <c r="AC16" i="52"/>
  <c r="AC14" i="52"/>
  <c r="AC12" i="52"/>
  <c r="AC11" i="52"/>
  <c r="AC10" i="52"/>
  <c r="AC9" i="52"/>
  <c r="AC8" i="52"/>
  <c r="AC7" i="52"/>
  <c r="AC50" i="51"/>
  <c r="AC49" i="51"/>
  <c r="AC48" i="51"/>
  <c r="AC47" i="51"/>
  <c r="AC46" i="51"/>
  <c r="AC44" i="51"/>
  <c r="AC42" i="51"/>
  <c r="AC40" i="51"/>
  <c r="AC38" i="51"/>
  <c r="AC37" i="51"/>
  <c r="AC36" i="51"/>
  <c r="AC35" i="51"/>
  <c r="AC34" i="51"/>
  <c r="AC33" i="51"/>
  <c r="AC24" i="51"/>
  <c r="AC23" i="51"/>
  <c r="AC22" i="51"/>
  <c r="AC21" i="51"/>
  <c r="AC20" i="51"/>
  <c r="AC18" i="51"/>
  <c r="AC16" i="51"/>
  <c r="AC14" i="51"/>
  <c r="AC12" i="51"/>
  <c r="AC11" i="51"/>
  <c r="AC10" i="51"/>
  <c r="AC9" i="51"/>
  <c r="AC8" i="51"/>
  <c r="AC7" i="51"/>
  <c r="AC50" i="28"/>
  <c r="AC49" i="28"/>
  <c r="AC48" i="28"/>
  <c r="AC47" i="28"/>
  <c r="AC46" i="28"/>
  <c r="AC44" i="28"/>
  <c r="AC42" i="28"/>
  <c r="AC40" i="28"/>
  <c r="AC38" i="28"/>
  <c r="AC37" i="28"/>
  <c r="AC36" i="28"/>
  <c r="AC35" i="28"/>
  <c r="AC34" i="28"/>
  <c r="AC33" i="28"/>
  <c r="AC24" i="28"/>
  <c r="AC23" i="28"/>
  <c r="AC22" i="28"/>
  <c r="AC21" i="28"/>
  <c r="AC20" i="28"/>
  <c r="AC18" i="28"/>
  <c r="AC16" i="28"/>
  <c r="AC14" i="28"/>
  <c r="AC12" i="28"/>
  <c r="AC11" i="28"/>
  <c r="AC10" i="28"/>
  <c r="AC9" i="28"/>
  <c r="AC8" i="28"/>
  <c r="AC7" i="28"/>
  <c r="T14" i="51"/>
  <c r="T14" i="52"/>
  <c r="T14" i="28"/>
  <c r="O42" i="52"/>
  <c r="O16" i="52"/>
  <c r="O16" i="51"/>
  <c r="O42" i="51"/>
  <c r="O42" i="28"/>
  <c r="O16" i="28"/>
  <c r="F22" i="48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B59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H23" i="22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B8" i="52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B9" i="5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AH16" i="28"/>
  <c r="AH41" i="5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B50" i="52" s="1"/>
  <c r="S35" i="52"/>
  <c r="T35" i="52" s="1"/>
  <c r="AB35" i="52" s="1"/>
  <c r="S42" i="52"/>
  <c r="T42" i="52" s="1"/>
  <c r="L28" i="27"/>
  <c r="S35" i="28"/>
  <c r="T35" i="28" s="1"/>
  <c r="AB35" i="28" s="1"/>
  <c r="S50" i="28"/>
  <c r="T50" i="28" s="1"/>
  <c r="AB50" i="28" s="1"/>
  <c r="S46" i="28"/>
  <c r="T46" i="28" s="1"/>
  <c r="S40" i="28"/>
  <c r="T40" i="28" s="1"/>
  <c r="S34" i="28"/>
  <c r="T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B35" i="51" s="1"/>
  <c r="S37" i="51"/>
  <c r="T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T20" i="52"/>
  <c r="T7" i="51"/>
  <c r="AB7" i="51" s="1"/>
  <c r="AB14" i="52"/>
  <c r="T7" i="52"/>
  <c r="T20" i="51"/>
  <c r="T23" i="52"/>
  <c r="AB23" i="52" s="1"/>
  <c r="T10" i="52"/>
  <c r="AB10" i="52" s="1"/>
  <c r="T12" i="51"/>
  <c r="AB14" i="51"/>
  <c r="T23" i="28"/>
  <c r="AB14" i="28"/>
  <c r="T10" i="28"/>
  <c r="AB10" i="28" s="1"/>
  <c r="T20" i="28"/>
  <c r="T46" i="52"/>
  <c r="AB46" i="52" s="1"/>
  <c r="T7" i="28"/>
  <c r="T11" i="52"/>
  <c r="AB11" i="52" s="1"/>
  <c r="T12" i="52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B23" i="28"/>
  <c r="T24" i="28"/>
  <c r="F27" i="22" s="1"/>
  <c r="T8" i="28"/>
  <c r="AB8" i="28" s="1"/>
  <c r="T16" i="28"/>
  <c r="AB16" i="28" s="1"/>
  <c r="G10" i="48"/>
  <c r="V59" i="51"/>
  <c r="AC60" i="51"/>
  <c r="AB60" i="51" s="1"/>
  <c r="T8" i="51"/>
  <c r="AB8" i="51" s="1"/>
  <c r="AB23" i="51"/>
  <c r="T24" i="51"/>
  <c r="AB24" i="51" s="1"/>
  <c r="T16" i="51"/>
  <c r="AB16" i="51" s="1"/>
  <c r="T44" i="52"/>
  <c r="T18" i="52"/>
  <c r="AB18" i="52" s="1"/>
  <c r="T9" i="28"/>
  <c r="AB9" i="28" s="1"/>
  <c r="AB34" i="28"/>
  <c r="T18" i="51"/>
  <c r="AB18" i="51" s="1"/>
  <c r="T18" i="28"/>
  <c r="AB18" i="28" s="1"/>
  <c r="J24" i="22"/>
  <c r="AB36" i="28"/>
  <c r="I24" i="22"/>
  <c r="S54" i="51"/>
  <c r="K23" i="22"/>
  <c r="AB36" i="52"/>
  <c r="K27" i="22"/>
  <c r="S54" i="52"/>
  <c r="T16" i="52"/>
  <c r="AB16" i="52" s="1"/>
  <c r="AB36" i="51"/>
  <c r="AB42" i="51"/>
  <c r="J27" i="22"/>
  <c r="AC51" i="51" s="1"/>
  <c r="AB51" i="51" s="1"/>
  <c r="V51" i="51" s="1"/>
  <c r="AB37" i="51"/>
  <c r="T44" i="28"/>
  <c r="AB42" i="28"/>
  <c r="I27" i="22"/>
  <c r="T24" i="52"/>
  <c r="AB24" i="52" s="1"/>
  <c r="K24" i="22"/>
  <c r="AB37" i="52"/>
  <c r="T9" i="51"/>
  <c r="J23" i="22"/>
  <c r="I23" i="22"/>
  <c r="T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B40" i="52"/>
  <c r="T44" i="51"/>
  <c r="S27" i="52"/>
  <c r="T9" i="52"/>
  <c r="F24" i="22" l="1"/>
  <c r="AB48" i="52"/>
  <c r="AB20" i="51"/>
  <c r="T51" i="51"/>
  <c r="F17" i="22"/>
  <c r="V11" i="52"/>
  <c r="M10" i="48"/>
  <c r="L10" i="48" s="1"/>
  <c r="F24" i="48" s="1"/>
  <c r="U29" i="22"/>
  <c r="AB11" i="51"/>
  <c r="AC51" i="52"/>
  <c r="AB51" i="52" s="1"/>
  <c r="V51" i="52" s="1"/>
  <c r="G27" i="22"/>
  <c r="G17" i="22"/>
  <c r="AB24" i="28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AB44" i="28"/>
  <c r="AB44" i="51"/>
  <c r="AB22" i="51"/>
  <c r="G19" i="22"/>
  <c r="AB33" i="52"/>
  <c r="K9" i="22"/>
  <c r="AB49" i="52"/>
  <c r="K19" i="22"/>
  <c r="AB44" i="52"/>
  <c r="K10" i="22"/>
  <c r="H10" i="22"/>
  <c r="AB47" i="51"/>
  <c r="AB48" i="51"/>
  <c r="AB46" i="51"/>
  <c r="AB48" i="28"/>
  <c r="AB47" i="28"/>
  <c r="AB7" i="28"/>
  <c r="T51" i="52"/>
  <c r="AB42" i="52"/>
  <c r="V42" i="52" s="1"/>
  <c r="K17" i="22"/>
  <c r="AB49" i="51"/>
  <c r="AB40" i="51"/>
  <c r="V40" i="51" s="1"/>
  <c r="J13" i="22"/>
  <c r="AB40" i="28"/>
  <c r="I13" i="22"/>
  <c r="AB12" i="51"/>
  <c r="AB10" i="51"/>
  <c r="G11" i="22"/>
  <c r="F23" i="22"/>
  <c r="Y23" i="22" s="1"/>
  <c r="AB7" i="52"/>
  <c r="AB12" i="52"/>
  <c r="V12" i="52" s="1"/>
  <c r="F13" i="22"/>
  <c r="AB38" i="52"/>
  <c r="AB38" i="51"/>
  <c r="V38" i="51" s="1"/>
  <c r="I17" i="22"/>
  <c r="V42" i="28"/>
  <c r="V37" i="51"/>
  <c r="O26" i="22"/>
  <c r="O29" i="22" s="1"/>
  <c r="F11" i="22"/>
  <c r="J11" i="22"/>
  <c r="L26" i="22"/>
  <c r="L29" i="22" s="1"/>
  <c r="P26" i="22"/>
  <c r="P29" i="22" s="1"/>
  <c r="Q26" i="22"/>
  <c r="Q29" i="22" s="1"/>
  <c r="V14" i="52"/>
  <c r="H13" i="22"/>
  <c r="I11" i="22"/>
  <c r="V18" i="52"/>
  <c r="M26" i="22"/>
  <c r="M29" i="22" s="1"/>
  <c r="N26" i="22"/>
  <c r="N29" i="22" s="1"/>
  <c r="V40" i="52"/>
  <c r="K13" i="22"/>
  <c r="H27" i="22"/>
  <c r="V42" i="51"/>
  <c r="J17" i="22"/>
  <c r="H11" i="22"/>
  <c r="K11" i="22"/>
  <c r="V16" i="52"/>
  <c r="H17" i="22"/>
  <c r="V23" i="52"/>
  <c r="Y13" i="22" l="1"/>
  <c r="V46" i="52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7" i="22"/>
  <c r="AE17" i="22" s="1"/>
  <c r="O30" i="22"/>
  <c r="L30" i="22"/>
  <c r="V60" i="52"/>
  <c r="AB54" i="52"/>
  <c r="Q151" i="56" s="1"/>
  <c r="Q153" i="56" s="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Y10" i="22"/>
  <c r="AE10" i="22" s="1"/>
  <c r="AA17" i="22"/>
  <c r="AA11" i="22"/>
  <c r="AA16" i="22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R11" i="28"/>
  <c r="R12" i="28"/>
  <c r="S12" i="28" s="1"/>
  <c r="T12" i="28" l="1"/>
  <c r="F22" i="22" s="1"/>
  <c r="AA58" i="56"/>
  <c r="R32" i="28"/>
  <c r="AB38" i="28"/>
  <c r="V38" i="28" s="1"/>
  <c r="S11" i="28"/>
  <c r="Y58" i="56" s="1"/>
  <c r="R6" i="28"/>
  <c r="S37" i="28"/>
  <c r="AB12" i="28" l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<sst xmlns="http://schemas.openxmlformats.org/spreadsheetml/2006/main" count="69078" uniqueCount="973">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</sst>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51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166" fontId="35" fillId="35" borderId="0" xfId="1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10" fontId="9" fillId="7" borderId="0" xfId="1" applyNumberFormat="1" applyFont="1" applyFill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82.152490582671078</c:v>
                </c:pt>
                <c:pt idx="1">
                  <c:v>21.438179605446461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2" t="s">
        <v>876</v>
      </c>
      <c r="B16" s="1072"/>
      <c r="C16" s="1072"/>
      <c r="D16" s="1072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1" t="s">
        <v>891</v>
      </c>
      <c r="C19" s="1071"/>
      <c r="D19" s="1071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1" t="s">
        <v>892</v>
      </c>
      <c r="C20" s="1071"/>
      <c r="D20" s="1071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1" t="s">
        <v>887</v>
      </c>
      <c r="C23" s="1071"/>
      <c r="D23" s="1071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1" t="s">
        <v>888</v>
      </c>
      <c r="C24" s="1071"/>
      <c r="D24" s="1071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1" t="s">
        <v>889</v>
      </c>
      <c r="C25" s="1071"/>
      <c r="D25" s="1071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1" t="s">
        <v>887</v>
      </c>
      <c r="C26" s="1071"/>
      <c r="D26" s="1071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1" t="s">
        <v>890</v>
      </c>
      <c r="C27" s="1071"/>
      <c r="D27" s="1071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3" t="s">
        <v>883</v>
      </c>
      <c r="C30" s="1071"/>
      <c r="D30" s="1071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1" t="s">
        <v>885</v>
      </c>
      <c r="C31" s="1071"/>
      <c r="D31" s="1071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4" t="s">
        <v>2</v>
      </c>
      <c r="C2" s="1075"/>
      <c r="D2" s="1075"/>
      <c r="E2" s="1076"/>
      <c r="G2" s="1074" t="s">
        <v>3</v>
      </c>
      <c r="H2" s="1076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4" t="s">
        <v>11</v>
      </c>
      <c r="H11" s="1076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7" t="s">
        <v>604</v>
      </c>
      <c r="H18" s="1078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9" t="s">
        <v>602</v>
      </c>
      <c r="C27" s="1080"/>
      <c r="D27" s="1080"/>
      <c r="E27" s="1080"/>
      <c r="F27" s="1080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1074" t="s">
        <v>610</v>
      </c>
      <c r="C46" s="1075"/>
      <c r="D46" s="1075"/>
      <c r="E46" s="1076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activeCell="B13" sqref="B13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1" t="s">
        <v>23</v>
      </c>
      <c r="B1" s="1082"/>
      <c r="C1" s="1082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3" t="s">
        <v>25</v>
      </c>
      <c r="B7" s="1084"/>
      <c r="C7" s="1085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3" t="s">
        <v>26</v>
      </c>
      <c r="B28" s="1084"/>
      <c r="C28" s="1085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3" t="s">
        <v>39</v>
      </c>
      <c r="B35" s="1084"/>
      <c r="C35" s="1085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3" t="s">
        <v>47</v>
      </c>
      <c r="B39" s="1084"/>
      <c r="C39" s="1085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3" t="s">
        <v>66</v>
      </c>
      <c r="B49" s="1084"/>
      <c r="C49" s="1085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3" t="s">
        <v>68</v>
      </c>
      <c r="B62" s="1084"/>
      <c r="C62" s="1085"/>
    </row>
    <row r="63" spans="1:3">
      <c r="A63" s="1083" t="s">
        <v>69</v>
      </c>
      <c r="B63" s="1084"/>
      <c r="C63" s="1085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3" t="s">
        <v>76</v>
      </c>
      <c r="B70" s="1084"/>
      <c r="C70" s="1085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3" t="s">
        <v>487</v>
      </c>
      <c r="B76" s="1084"/>
      <c r="C76" s="1085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3" t="s">
        <v>716</v>
      </c>
      <c r="B84" s="1084"/>
      <c r="C84" s="1085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37" workbookViewId="0">
      <selection activeCell="U56" sqref="U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H13" sqref="H1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089" t="s">
        <v>635</v>
      </c>
      <c r="G2" s="1090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091" t="s">
        <v>494</v>
      </c>
      <c r="G3" s="1092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093" t="s">
        <v>209</v>
      </c>
      <c r="G4" s="1094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095" t="s">
        <v>502</v>
      </c>
      <c r="G5" s="1096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86" t="s">
        <v>220</v>
      </c>
      <c r="J7" s="1087"/>
      <c r="K7" s="1088"/>
      <c r="L7" s="1086" t="s">
        <v>221</v>
      </c>
      <c r="M7" s="1087"/>
      <c r="N7" s="1088"/>
      <c r="O7" s="1086" t="s">
        <v>222</v>
      </c>
      <c r="P7" s="1087"/>
      <c r="Q7" s="1088"/>
      <c r="R7" s="1101" t="s">
        <v>223</v>
      </c>
      <c r="S7" s="1086" t="s">
        <v>650</v>
      </c>
      <c r="T7" s="1087"/>
      <c r="U7" s="1087"/>
      <c r="V7" s="1087"/>
      <c r="W7" s="1087"/>
      <c r="X7" s="1088"/>
      <c r="Y7" s="1099" t="s">
        <v>713</v>
      </c>
      <c r="Z7" s="1099" t="s">
        <v>503</v>
      </c>
      <c r="AA7" s="1097" t="s">
        <v>772</v>
      </c>
      <c r="AD7" s="1107" t="s">
        <v>842</v>
      </c>
      <c r="AE7" s="1097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102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100"/>
      <c r="Z8" s="1100"/>
      <c r="AA8" s="1098" t="s">
        <v>659</v>
      </c>
      <c r="AD8" s="1108"/>
      <c r="AE8" s="1098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0</v>
      </c>
      <c r="J9" s="644">
        <f>'SHWLP-Att'!$AC$33+'SHWLP-Att'!$AC$46</f>
        <v>0.4085621664140332</v>
      </c>
      <c r="K9" s="645">
        <f>'SHWLP-Det'!$AC$33+'SHWLP-Det'!$AC$46</f>
        <v>0.10058759437750613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10.007910905724245</v>
      </c>
      <c r="Z9" s="757">
        <f>C9</f>
        <v>9.0766551305573824</v>
      </c>
      <c r="AA9" s="354">
        <f>ABS(Z9-Y9)/Z9</f>
        <v>0.10259900390306836</v>
      </c>
      <c r="AD9" s="25">
        <f>AJ9+AJ20</f>
        <v>10.269075645345431</v>
      </c>
      <c r="AE9" s="354">
        <f>ABS(AD9-Y9)/AD9</f>
        <v>2.5432156568012253E-2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3.2061498965965211E-3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0</v>
      </c>
      <c r="J10" s="439">
        <f>'SHWLP-Att'!$AC$44+'SHWLP-Att'!$AC$47</f>
        <v>0.36088383689539283</v>
      </c>
      <c r="K10" s="441">
        <f>'SHWLP-Det'!$AC$44+'SHWLP-Det'!$AC$47</f>
        <v>0.38575860936528117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8.1133487293392896</v>
      </c>
      <c r="Z10" s="436">
        <f t="shared" ref="Z10:Z27" si="0">C10</f>
        <v>8.22868674342444</v>
      </c>
      <c r="AA10" s="354">
        <f>ABS(Z10-Y10)/Z10</f>
        <v>1.4016576117363705E-2</v>
      </c>
      <c r="AD10" s="25">
        <f>AJ14+AJ27</f>
        <v>8.1954076367650153</v>
      </c>
      <c r="AE10" s="354">
        <f t="shared" ref="AE10" si="1">ABS(AD10-Y10)/AD10</f>
        <v>1.0012791439147604E-2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0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0</v>
      </c>
      <c r="J11" s="644">
        <f>'SHWLP-Att'!$AC$36</f>
        <v>0</v>
      </c>
      <c r="K11" s="645">
        <f>'SHWLP-Det'!$AC$36</f>
        <v>0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1.6661209105037449</v>
      </c>
      <c r="Z11" s="757">
        <f t="shared" si="0"/>
        <v>2.2542368842613176</v>
      </c>
      <c r="AA11" s="354">
        <f>ABS(Z11-Y11)/Z11</f>
        <v>0.26089359901068704</v>
      </c>
      <c r="AD11" s="25">
        <f>AJ13+AJ26+AR8</f>
        <v>2.1294859113248128</v>
      </c>
      <c r="AE11" s="354">
        <f>ABS(AD11-Y11)/AD11</f>
        <v>0.21759477175070652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0.23973746740711377</v>
      </c>
      <c r="G13" s="644">
        <f>'SHWLP-Att'!$AC$14</f>
        <v>8.5556650016606195</v>
      </c>
      <c r="H13" s="645">
        <f>'SHWLP-Det'!$AC$14</f>
        <v>31.600517865997496</v>
      </c>
      <c r="I13" s="643">
        <f>'SHWLP-Apt'!$AC$40</f>
        <v>0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>SUM(F13:X13)</f>
        <v>51.980228633781493</v>
      </c>
      <c r="Z13" s="760">
        <f t="shared" si="0"/>
        <v>36.243917659777566</v>
      </c>
      <c r="AA13" s="354">
        <f>ABS(Z13+Z14+Z16-Y13)/(Z13+Z14+Z16)</f>
        <v>3.3757692910172048E-2</v>
      </c>
      <c r="AD13" s="25">
        <f>AJ12+AJ25</f>
        <v>43.727300517765926</v>
      </c>
      <c r="AE13" s="354">
        <f>ABS(AD13-Y13)/AD13</f>
        <v>0.18873628187183641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3.3757692910172048E-2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3.3757692910172048E-2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3.3757692910172048E-2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0</v>
      </c>
      <c r="G19" s="644">
        <f>'SHWLP-Att'!$AC$22+'SHWLP-Att'!$AC$23</f>
        <v>0.15910157693805971</v>
      </c>
      <c r="H19" s="645">
        <f>'SHWLP-Det'!$AC$22+'SHWLP-Det'!$AC$23</f>
        <v>0.86316679487914505</v>
      </c>
      <c r="I19" s="643">
        <f>'SHWLP-Apt'!$AC$49+'SHWLP-Apt'!$AC$48</f>
        <v>0</v>
      </c>
      <c r="J19" s="644">
        <f>'SHWLP-Att'!$AC$49+'SHWLP-Att'!$AC$48</f>
        <v>3.0073653074616069E-2</v>
      </c>
      <c r="K19" s="645">
        <f>'SHWLP-Det'!$AC$49+'SHWLP-Det'!$AC$48</f>
        <v>3.2146550780440097E-2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1.0844885756722611</v>
      </c>
      <c r="Z19" s="757">
        <f t="shared" si="0"/>
        <v>1.2466650078070101</v>
      </c>
      <c r="AA19" s="354">
        <f>ABS(Z19-Y19)/Z19</f>
        <v>0.13008822026699146</v>
      </c>
      <c r="AD19" s="25">
        <f>AJ29+AJ15</f>
        <v>1.2689594898892349</v>
      </c>
      <c r="AE19" s="354">
        <f t="shared" si="3"/>
        <v>0.1453717913667015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0.21442628392933846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0.1328039621482244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0.14941040324491844</v>
      </c>
      <c r="I22" s="440">
        <f>('SHWLP-Apt'!$AC$38/('SHWLP-Apt'!$AC$12+'SHWLP-Att'!$AC$12+'SHWLP-Det'!$AC$12+'SHWLP-Apt'!$AC$38+'SHWLP-Att'!$AC$38+'SHWLP-Det'!$AC$38+'SHWLP-Apt'!AC50))</f>
        <v>0.34644334075781774</v>
      </c>
      <c r="J22" s="439">
        <f>('SHWLP-Att'!$AC$38/('SHWLP-Apt'!$AC$12+'SHWLP-Att'!$AC$12+'SHWLP-Det'!$AC$12+'SHWLP-Apt'!$AC$38+'SHWLP-Att'!$AC$38+'SHWLP-Det'!$AC$38+'SHWLP-Att'!AC50))</f>
        <v>0.15691600991970089</v>
      </c>
      <c r="K22" s="441">
        <f>('SHWLP-Det'!$AC$38/('SHWLP-Apt'!$AC$12+'SHWLP-Att'!$AC$12+'SHWLP-Det'!$AC$12+'SHWLP-Apt'!$AC$38+'SHWLP-Att'!$AC$38+'SHWLP-Det'!$AC$38+'SHWLP-Det'!AC50))</f>
        <v>0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1</v>
      </c>
      <c r="Z22" s="764">
        <f t="shared" si="0"/>
        <v>1.1669028796434333</v>
      </c>
      <c r="AA22" s="616">
        <f>ABS(Z22+Z27-Y22-Y27)/(Z22+Z27)</f>
        <v>0.14303065195488529</v>
      </c>
      <c r="AD22" s="25">
        <f>AJ8+AJ18+AJ24</f>
        <v>2.2054176010201956</v>
      </c>
      <c r="AE22" s="354">
        <f>ABS(AD22-Y22)/SUM(AD22+AD27)</f>
        <v>0.5465711348556328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0</v>
      </c>
      <c r="G23" s="644">
        <f>'SHWLP-Att'!$AC$9</f>
        <v>0</v>
      </c>
      <c r="H23" s="645">
        <f>'SHWLP-Det'!$AC$9</f>
        <v>0</v>
      </c>
      <c r="I23" s="643">
        <f>'SHWLP-Apt'!$AC$35</f>
        <v>0</v>
      </c>
      <c r="J23" s="644">
        <f>'SHWLP-Att'!$AC$35</f>
        <v>0</v>
      </c>
      <c r="K23" s="645">
        <f>'SHWLP-Det'!$AC$35</f>
        <v>0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0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0</v>
      </c>
      <c r="G24" s="439">
        <f>'SHWLP-Att'!$AC$8</f>
        <v>0</v>
      </c>
      <c r="H24" s="441">
        <f>'SHWLP-Det'!$AC$8</f>
        <v>0</v>
      </c>
      <c r="I24" s="440">
        <f>'SHWLP-Apt'!$AC$34</f>
        <v>0</v>
      </c>
      <c r="J24" s="439">
        <f>'SHWLP-Att'!$AC$34</f>
        <v>0</v>
      </c>
      <c r="K24" s="441">
        <f>'SHWLP-Det'!$AC$34</f>
        <v>0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0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0.66757192323568215</v>
      </c>
      <c r="G26" s="439">
        <f>'SHWLP-Att'!$AC$11+'SHWLP-Att'!$AC$13</f>
        <v>1.0838903110495035</v>
      </c>
      <c r="H26" s="441">
        <f>'SHWLP-Det'!$AC$11+'SHWLP-Det'!$AC$13</f>
        <v>1.5894259504513475</v>
      </c>
      <c r="I26" s="440">
        <f>'SHWLP-Apt'!$AC$37+'SHWLP-Apt'!$AC$39</f>
        <v>0.69372778462180618</v>
      </c>
      <c r="J26" s="439">
        <f>'SHWLP-Att'!$AC$37+'SHWLP-Att'!$AC$39</f>
        <v>0.56457083746435377</v>
      </c>
      <c r="K26" s="441">
        <f>'SHWLP-Det'!$AC$37+'SHWLP-Det'!$AC$39</f>
        <v>0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29.103697648805749</v>
      </c>
      <c r="Z26" s="436">
        <f t="shared" si="0"/>
        <v>29.430890206847998</v>
      </c>
      <c r="AA26" s="354">
        <f>ABS(Z26-Y26)/Z26</f>
        <v>1.1117317748211286E-2</v>
      </c>
      <c r="AD26" s="37">
        <f>AJ10+AJ21+AO6+AO7+AO8+AO10+AO11+AO12+AR6+AR15+AR16+AR17+AR18+AR19</f>
        <v>31.036472775515985</v>
      </c>
      <c r="AE26" s="354">
        <f t="shared" si="3"/>
        <v>6.227431643698126E-2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0</v>
      </c>
      <c r="G27" s="644">
        <f>'SHWLP-Att'!$AC$24</f>
        <v>0</v>
      </c>
      <c r="H27" s="645">
        <f>'SHWLP-Det'!$AC$24</f>
        <v>0</v>
      </c>
      <c r="I27" s="643">
        <f>'SHWLP-Apt'!$AC$50</f>
        <v>0</v>
      </c>
      <c r="J27" s="644">
        <f>'SHWLP-Att'!$AC$50</f>
        <v>0</v>
      </c>
      <c r="K27" s="645">
        <f>'SHWLP-Det'!$AC$50</f>
        <v>0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</v>
      </c>
      <c r="Z27" s="766">
        <f t="shared" si="0"/>
        <v>0</v>
      </c>
      <c r="AA27" s="616">
        <f>ABS(Z22+Z27-Y22-Y27)/(Z22+Z27)</f>
        <v>0.14303065195488529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0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0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10.263814104900304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2.4155752425724728</v>
      </c>
      <c r="G29" s="411">
        <f t="shared" ref="G29:K29" si="4">SUM(G9:G27)</f>
        <v>29.219025525881932</v>
      </c>
      <c r="H29" s="411">
        <f t="shared" si="4"/>
        <v>50.51788981421668</v>
      </c>
      <c r="I29" s="411">
        <f t="shared" si="4"/>
        <v>1.6753439780870696</v>
      </c>
      <c r="J29" s="411">
        <f t="shared" si="4"/>
        <v>9.0600457962582457</v>
      </c>
      <c r="K29" s="411">
        <f t="shared" si="4"/>
        <v>10.702789831101146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128.80460237113869</v>
      </c>
      <c r="Z29" s="596">
        <f>SUM(Z9:Z27)</f>
        <v>127.53920844574029</v>
      </c>
      <c r="AA29" s="354">
        <f>ABS(Z29-Y29)/Z29</f>
        <v>9.9216071733481299E-3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82.152490582671078</v>
      </c>
      <c r="G30" s="412">
        <f>F30/$Y$29</f>
        <v>0.63780710526131812</v>
      </c>
      <c r="H30" s="302"/>
      <c r="I30" s="413">
        <f>SUM(I29:K29)</f>
        <v>21.438179605446461</v>
      </c>
      <c r="J30" s="412">
        <f>I30/$Y$29</f>
        <v>0.16643954649752582</v>
      </c>
      <c r="K30" s="302"/>
      <c r="L30" s="413">
        <f>SUM(L29:N29)</f>
        <v>4.9252824777426403</v>
      </c>
      <c r="M30" s="412">
        <f>L30/$Y$29</f>
        <v>3.8238404428677861E-2</v>
      </c>
      <c r="N30" s="302"/>
      <c r="O30" s="413">
        <f>SUM(O29:Q29)</f>
        <v>1.1487968357609819</v>
      </c>
      <c r="P30" s="412">
        <f>O30/$Y$29</f>
        <v>8.9189113945698055E-3</v>
      </c>
      <c r="Q30" s="302"/>
      <c r="R30" s="412">
        <f>R29/$Y$29</f>
        <v>2.143677633049126E-2</v>
      </c>
      <c r="S30" s="413">
        <f>SUM(S29:X29)</f>
        <v>16.378697418149557</v>
      </c>
      <c r="T30" s="412">
        <f>S30/$Y$29</f>
        <v>0.1271592560874171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82.152490582671078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21.438179605446461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03" t="s">
        <v>225</v>
      </c>
      <c r="S36" s="1104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03" t="s">
        <v>226</v>
      </c>
      <c r="S37" s="1104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03" t="s">
        <v>224</v>
      </c>
      <c r="S38" s="1104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05" t="s">
        <v>227</v>
      </c>
      <c r="S39" s="1106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10" t="s">
        <v>558</v>
      </c>
      <c r="C4" s="1111"/>
      <c r="D4" s="1111"/>
      <c r="E4" s="1111"/>
      <c r="F4" s="1111"/>
      <c r="G4" s="1111"/>
      <c r="H4" s="1111"/>
      <c r="I4" s="1111"/>
      <c r="J4" s="1111"/>
      <c r="K4" s="1111"/>
      <c r="L4" s="1111"/>
      <c r="O4" s="1110" t="s">
        <v>560</v>
      </c>
      <c r="P4" s="1111"/>
      <c r="Q4" s="1111"/>
      <c r="R4" s="1111"/>
      <c r="S4" s="1111"/>
      <c r="T4" s="1111"/>
      <c r="U4" s="1111"/>
      <c r="V4" s="1111"/>
      <c r="W4" s="1111"/>
      <c r="X4" s="1111"/>
      <c r="Y4" s="1111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4" t="s">
        <v>567</v>
      </c>
      <c r="AZ18" s="1114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L18" s="1114" t="s">
        <v>875</v>
      </c>
      <c r="BM18" s="1114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  <c r="BX18" s="1114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10" t="s">
        <v>559</v>
      </c>
      <c r="C19" s="1111"/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  <c r="O19" s="1110" t="s">
        <v>560</v>
      </c>
      <c r="P19" s="1111"/>
      <c r="Q19" s="1111"/>
      <c r="R19" s="1111"/>
      <c r="S19" s="1111"/>
      <c r="T19" s="1111"/>
      <c r="U19" s="1111"/>
      <c r="V19" s="1111"/>
      <c r="W19" s="1111"/>
      <c r="X19" s="1111"/>
      <c r="Y19" s="1111"/>
      <c r="Z19" s="1111"/>
      <c r="AB19" s="1110" t="s">
        <v>561</v>
      </c>
      <c r="AC19" s="1111"/>
      <c r="AD19" s="1111"/>
      <c r="AE19" s="1111"/>
      <c r="AF19" s="1111"/>
      <c r="AG19" s="1111"/>
      <c r="AH19" s="1111"/>
      <c r="AI19" s="1111"/>
      <c r="AJ19" s="1111"/>
      <c r="AK19" s="1111"/>
      <c r="AL19" s="1111"/>
      <c r="AN19" s="1112" t="s">
        <v>562</v>
      </c>
      <c r="AO19" s="1113"/>
      <c r="AP19" s="1113"/>
      <c r="AQ19" s="1113"/>
      <c r="AR19" s="1113"/>
      <c r="AS19" s="1113"/>
      <c r="AT19" s="1113"/>
      <c r="AU19" s="1113"/>
      <c r="AV19" s="1113"/>
      <c r="AW19" s="1113"/>
      <c r="AY19" s="1109" t="s">
        <v>563</v>
      </c>
      <c r="AZ19" s="1109"/>
      <c r="BA19" s="1109"/>
      <c r="BB19" s="1109"/>
      <c r="BC19" s="1109"/>
      <c r="BD19" s="1109"/>
      <c r="BE19" s="1109"/>
      <c r="BF19" s="1109"/>
      <c r="BG19" s="1109"/>
      <c r="BH19" s="1109"/>
      <c r="BI19" s="1109"/>
      <c r="BJ19" s="1109"/>
      <c r="BL19" s="1109" t="s">
        <v>568</v>
      </c>
      <c r="BM19" s="1109"/>
      <c r="BN19" s="1109"/>
      <c r="BO19" s="1109"/>
      <c r="BP19" s="1109"/>
      <c r="BQ19" s="1109"/>
      <c r="BR19" s="1109"/>
      <c r="BS19" s="1109"/>
      <c r="BT19" s="1109"/>
      <c r="BU19" s="1109"/>
      <c r="BV19" s="1109"/>
      <c r="BW19" s="1109"/>
      <c r="BX19" s="1109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>
      <selection activeCell="H28" sqref="H2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825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H7" s="25" t="s">
        <v>825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H8" s="25" t="s">
        <v>825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H9" s="25" t="s">
        <v>825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H10" s="25" t="s">
        <v>825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H11" s="25" t="s">
        <v>825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H12" s="25" t="s">
        <v>825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H13" s="25" t="s">
        <v>825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H14" s="25" t="s">
        <v>825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H15" s="25" t="s">
        <v>825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H16" s="25" t="s">
        <v>825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H17" s="25" t="s">
        <v>825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H18" s="25" t="s">
        <v>825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H19" s="25" t="s">
        <v>825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H20" s="25" t="s">
        <v>825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H21" s="25" t="s">
        <v>825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H22" s="25" t="s">
        <v>825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H23" s="25" t="s">
        <v>825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H24" s="25" t="s">
        <v>825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H25" s="25" t="s">
        <v>825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>
      <selection activeCell="I8" sqref="I8"/>
    </sheetView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0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O6" sqref="O6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opLeftCell="X63" zoomScaleNormal="100" workbookViewId="0">
      <selection activeCell="AA74" sqref="AA74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26" t="s">
        <v>964</v>
      </c>
      <c r="O3" s="1127"/>
      <c r="P3" s="1126" t="s">
        <v>965</v>
      </c>
      <c r="Q3" s="1127"/>
      <c r="R3" s="1126" t="s">
        <v>966</v>
      </c>
      <c r="S3" s="1127"/>
      <c r="T3" s="1126" t="s">
        <v>967</v>
      </c>
      <c r="U3" s="1128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1.638635162947696E-3</v>
      </c>
      <c r="N6" s="825">
        <f>AR48*DwellingStocks!P18*(1+O53)</f>
        <v>1.638635162947696E-3</v>
      </c>
      <c r="O6" s="826">
        <f>N6*G6</f>
        <v>6.0932769346154353E-2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5.6727378666555717E-3</v>
      </c>
      <c r="N8" s="807"/>
      <c r="O8" s="800"/>
      <c r="P8" s="811">
        <f>AS48*(1+Q53)</f>
        <v>5.6727378666555717E-3</v>
      </c>
      <c r="Q8" s="808">
        <f>P8*G6</f>
        <v>0.21094117580653474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1.2834435545833994E-2</v>
      </c>
      <c r="N11" s="807">
        <f>AR49*DwellingStocks!P19*(1+O53)</f>
        <v>1.2834435545833994E-2</v>
      </c>
      <c r="O11" s="800">
        <f>N11*G11</f>
        <v>0.1224120020939108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5.2959994722577555E-3</v>
      </c>
      <c r="N13" s="807"/>
      <c r="O13" s="800"/>
      <c r="P13" s="811">
        <f>AS49*(1+Q53)</f>
        <v>5.2959994722577555E-3</v>
      </c>
      <c r="Q13" s="808">
        <f>P13*G11</f>
        <v>5.0512069359980573E-2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2.0328430457162861E-2</v>
      </c>
      <c r="N16" s="825">
        <f>AR50*DwellingStocks!P20*(1+O53)</f>
        <v>2.0328430457162861E-2</v>
      </c>
      <c r="O16" s="826">
        <f>N16*G16</f>
        <v>0.35666420197620591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7.8456317634966466E-3</v>
      </c>
      <c r="N18" s="807"/>
      <c r="O18" s="800"/>
      <c r="P18" s="811">
        <f>AS50*(1+Q53)</f>
        <v>7.8456317634966466E-3</v>
      </c>
      <c r="Q18" s="808">
        <f>P18*G16</f>
        <v>0.1376523385719983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2.4317446066434045E-2</v>
      </c>
      <c r="N21" s="807">
        <f>AR51*DwellingStocks!P21*(1+O53)</f>
        <v>2.4317446066434045E-2</v>
      </c>
      <c r="O21" s="800">
        <f>N21*G21</f>
        <v>1.210251318026053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8.7381919789022919E-3</v>
      </c>
      <c r="N23" s="807"/>
      <c r="O23" s="800"/>
      <c r="P23" s="811">
        <f>AS51*(1+Q53)</f>
        <v>8.7381919789022919E-3</v>
      </c>
      <c r="Q23" s="808">
        <f>P23*G21</f>
        <v>0.43488976312478278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16" t="s">
        <v>897</v>
      </c>
      <c r="AG24" s="1117"/>
      <c r="AH24" s="1117"/>
      <c r="AI24" s="1117"/>
      <c r="AJ24" s="1118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19" t="s">
        <v>898</v>
      </c>
      <c r="AG25" s="1120"/>
      <c r="AH25" s="1119" t="s">
        <v>899</v>
      </c>
      <c r="AI25" s="1120"/>
      <c r="AJ25" s="1121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2.0696518720334969E-2</v>
      </c>
      <c r="N26" s="825">
        <f>AR52*DwellingStocks!P22*(1+O53)</f>
        <v>2.0696518720334969E-2</v>
      </c>
      <c r="O26" s="826">
        <f>N26*G26</f>
        <v>5.8395543703708546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2">
        <v>3.5000000000000001E-3</v>
      </c>
      <c r="AG26" s="1123"/>
      <c r="AH26" s="1122">
        <v>0.83330000000000004</v>
      </c>
      <c r="AI26" s="1124"/>
      <c r="AJ26" s="1125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9.8139877211277943E-3</v>
      </c>
      <c r="N28" s="807"/>
      <c r="O28" s="800"/>
      <c r="P28" s="811">
        <f>AS52*(1+Q53)</f>
        <v>9.8139877211277943E-3</v>
      </c>
      <c r="Q28" s="808">
        <f>P28*G26</f>
        <v>2.7690316261434607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2.9521518119855227E-2</v>
      </c>
      <c r="N31" s="807">
        <f>AR53*DwellingStocks!P23*(1+O53)</f>
        <v>2.9521518119855227E-2</v>
      </c>
      <c r="O31" s="800">
        <f>N31*G31</f>
        <v>5.5390345408655879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1.0415362640149816E-2</v>
      </c>
      <c r="N33" s="807"/>
      <c r="O33" s="800"/>
      <c r="P33" s="811">
        <f>AS53*(1+Q53)</f>
        <v>1.0415362640149816E-2</v>
      </c>
      <c r="Q33" s="808">
        <f>P33*G31</f>
        <v>1.954203479143902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4.0253356197756204E-2</v>
      </c>
      <c r="N36" s="825">
        <f>AR54*DwellingStocks!P24*(1+O53)</f>
        <v>4.0253356197756204E-2</v>
      </c>
      <c r="O36" s="826">
        <f>N36*G36</f>
        <v>4.0824509443353945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1.0862420705216563E-2</v>
      </c>
      <c r="N38" s="807"/>
      <c r="O38" s="800"/>
      <c r="P38" s="811">
        <f>AS54*(1+Q53)</f>
        <v>1.0862420705216563E-2</v>
      </c>
      <c r="Q38" s="808">
        <f>P38*G36</f>
        <v>1.1016547153961682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29" t="s">
        <v>607</v>
      </c>
      <c r="Y39" s="1130"/>
      <c r="Z39" s="1130"/>
      <c r="AA39" s="1130"/>
      <c r="AB39" s="1131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5.141803678796826E-2</v>
      </c>
      <c r="N41" s="807">
        <f>AR55*DwellingStocks!P25*(1+O53)</f>
        <v>5.141803678796826E-2</v>
      </c>
      <c r="O41" s="800">
        <f>N41*G41</f>
        <v>2.5772677022657851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1.1276981488473822E-2</v>
      </c>
      <c r="N43" s="807"/>
      <c r="O43" s="800"/>
      <c r="P43" s="811">
        <f>AS55*(1+Q53)</f>
        <v>1.1276981488473822E-2</v>
      </c>
      <c r="Q43" s="808">
        <f>P43*G41</f>
        <v>0.56524523270195337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5.3151836936342553E-2</v>
      </c>
      <c r="N46" s="825">
        <f>AR56*DwellingStocks!P26*(1+O53)</f>
        <v>5.3151836936342553E-2</v>
      </c>
      <c r="O46" s="826">
        <f>N46*G46</f>
        <v>2.8014565628514725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1.0244752299870721E-2</v>
      </c>
      <c r="N48" s="320"/>
      <c r="P48" s="811">
        <f>AS56*(1+Q53)</f>
        <v>1.0244752299870721E-2</v>
      </c>
      <c r="Q48" s="808">
        <f>P48*G46</f>
        <v>0.53996682371737137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22.590024412131413</v>
      </c>
      <c r="P51" s="323"/>
      <c r="Q51" s="324">
        <f>'SHWLP-Att'!AB54</f>
        <v>7.7640972239661528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0.25310371941227178</v>
      </c>
      <c r="P53" s="320"/>
      <c r="Q53" s="816">
        <f>((Q51-Q52)/Q52)</f>
        <v>-0.37413515154117277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22.59002441213142</v>
      </c>
      <c r="P54" s="320"/>
      <c r="Q54" s="808">
        <f>SUM(Q6:Q50)</f>
        <v>7.7640972239661519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31.377761437348024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-3.1453827707176828E-16</v>
      </c>
      <c r="P55" s="331"/>
      <c r="Q55" s="817">
        <f t="shared" ref="Q55" si="17">((Q51-Q54)/Q54)</f>
        <v>1.1439558187892126E-16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3.9543947865259952E-4</v>
      </c>
      <c r="N56" s="825">
        <f>ABS(AR33*DwellingStocks!O18*(1+O103))</f>
        <v>3.9543947865259952E-4</v>
      </c>
      <c r="O56" s="826">
        <f>N56*G56</f>
        <v>5.7101060757319229E-3</v>
      </c>
      <c r="P56" s="827"/>
      <c r="Q56" s="828"/>
      <c r="R56" s="827"/>
      <c r="S56" s="828"/>
      <c r="T56" s="826"/>
      <c r="U56" s="828"/>
      <c r="W56" s="25"/>
      <c r="X56" s="1129" t="s">
        <v>836</v>
      </c>
      <c r="Y56" s="1130"/>
      <c r="Z56" s="1130"/>
      <c r="AA56" s="1130"/>
      <c r="AB56" s="1131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3.8470258473177572E-3</v>
      </c>
      <c r="N58" s="807"/>
      <c r="O58" s="800"/>
      <c r="P58" s="811">
        <f>AS33*(1+Q103)</f>
        <v>3.8470258473177572E-3</v>
      </c>
      <c r="Q58" s="808">
        <f>P58*G56</f>
        <v>5.5550664134789637E-2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5.9418416173866E-3</v>
      </c>
      <c r="N61" s="825">
        <f>ABS(AR34*DwellingStocks!O19*(1+$O$103))</f>
        <v>5.9418416173866E-3</v>
      </c>
      <c r="O61" s="826">
        <f>N61*G61</f>
        <v>4.4321927743108405E-2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9.3148232054232182E-3</v>
      </c>
      <c r="N63" s="807"/>
      <c r="O63" s="800"/>
      <c r="P63" s="811">
        <f>AS34*(1+Q103)</f>
        <v>9.3148232054232182E-3</v>
      </c>
      <c r="Q63" s="808">
        <f>P63*G61</f>
        <v>6.9481980105720403E-2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15" t="s">
        <v>619</v>
      </c>
      <c r="Y65" s="1115"/>
      <c r="Z65" s="1115"/>
      <c r="AA65" s="1115"/>
      <c r="AB65" s="1115"/>
      <c r="AC65" s="1115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1.0593731076693745E-2</v>
      </c>
      <c r="N66" s="825">
        <f>ABS(AR35*DwellingStocks!O20*(1+$O$103))</f>
        <v>1.0593731076693745E-2</v>
      </c>
      <c r="O66" s="826">
        <f>N66*G66</f>
        <v>0.14875555545556457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1.1787502717994804E-2</v>
      </c>
      <c r="N68" s="807"/>
      <c r="O68" s="800"/>
      <c r="P68" s="811">
        <f>AS35*(1+Q103)</f>
        <v>1.1787502717994804E-2</v>
      </c>
      <c r="Q68" s="808">
        <f>P68*G66</f>
        <v>0.16551831470471307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1.4295440841259926E-2</v>
      </c>
      <c r="N71" s="825">
        <f>ABS(AR36*DwellingStocks!O21*(1+$O$103))</f>
        <v>1.4295440841259926E-2</v>
      </c>
      <c r="O71" s="826">
        <f>N71*G71</f>
        <v>0.28482923049445491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1.3151363752192521E-2</v>
      </c>
      <c r="N73" s="807"/>
      <c r="O73" s="800"/>
      <c r="P73" s="811">
        <f>AS36*(1+Q103)</f>
        <v>1.3151363752192521E-2</v>
      </c>
      <c r="Q73" s="808">
        <f>P73*G71</f>
        <v>0.26203408898578046</v>
      </c>
      <c r="R73" s="800"/>
      <c r="S73" s="808"/>
      <c r="T73" s="832"/>
      <c r="U73" s="808"/>
      <c r="X73" s="365" t="s">
        <v>614</v>
      </c>
      <c r="Y73" s="365" t="s">
        <v>254</v>
      </c>
      <c r="Z73" s="365" t="s">
        <v>254</v>
      </c>
      <c r="AA73" s="365" t="s">
        <v>254</v>
      </c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1.0401607873771696E-2</v>
      </c>
      <c r="N76" s="825">
        <f>ABS(AR37*DwellingStocks!O22*(1+$O$103))</f>
        <v>1.0401607873771696E-2</v>
      </c>
      <c r="O76" s="826">
        <f>N76*G76</f>
        <v>0.61270466722738282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1.3063018896681352E-2</v>
      </c>
      <c r="N78" s="807"/>
      <c r="O78" s="800"/>
      <c r="P78" s="811">
        <f>AS37*(1+Q103)</f>
        <v>1.3063018896681352E-2</v>
      </c>
      <c r="Q78" s="808">
        <f>P78*G76</f>
        <v>0.76947456039543405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1.1378212682464769E-2</v>
      </c>
      <c r="N81" s="825">
        <f>ABS(AR38*DwellingStocks!O23*(1+$O$103))</f>
        <v>1.1378212682464769E-2</v>
      </c>
      <c r="O81" s="826">
        <f>N81*G81</f>
        <v>0.49767553187451918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1.1108166967290377E-2</v>
      </c>
      <c r="N83" s="807"/>
      <c r="O83" s="800"/>
      <c r="P83" s="811">
        <f>AS38*(1+Q103)</f>
        <v>1.1108166967290377E-2</v>
      </c>
      <c r="Q83" s="808">
        <f>P83*G81</f>
        <v>0.48586391007762925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1.5195699309000117E-2</v>
      </c>
      <c r="N86" s="825">
        <f>ABS(AR39*DwellingStocks!O24*(1+$O$103))</f>
        <v>1.5195699309000117E-2</v>
      </c>
      <c r="O86" s="826">
        <f>N86*G86</f>
        <v>0.39156090271153976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1.0457841158055054E-2</v>
      </c>
      <c r="N88" s="807"/>
      <c r="O88" s="800"/>
      <c r="P88" s="811">
        <f>AS39*(1+Q103)</f>
        <v>1.0457841158055054E-2</v>
      </c>
      <c r="Q88" s="808">
        <f>P88*G86</f>
        <v>0.26947635913252199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2.0654175596908388E-2</v>
      </c>
      <c r="N91" s="825">
        <f>ABS(AR40*DwellingStocks!O25*(1+$O$103))</f>
        <v>2.0654175596908388E-2</v>
      </c>
      <c r="O91" s="826">
        <f>N91*G91</f>
        <v>0.25469021714395823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1.0592199244765043E-2</v>
      </c>
      <c r="N93" s="807"/>
      <c r="O93" s="800"/>
      <c r="P93" s="811">
        <f>AS40*(1+Q103)</f>
        <v>1.0592199244765043E-2</v>
      </c>
      <c r="Q93" s="808">
        <f>P93*G91</f>
        <v>0.13061424374086797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2.4957951986448179E-2</v>
      </c>
      <c r="N96" s="825">
        <f>ABS(AR41*DwellingStocks!O26*(1+$O$103))</f>
        <v>2.4957951986448179E-2</v>
      </c>
      <c r="O96" s="826">
        <f>N96*G96</f>
        <v>0.37963970574142764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1.0115117299883687E-2</v>
      </c>
      <c r="N98" s="320"/>
      <c r="P98" s="811">
        <f>AS41*(1+Q103)</f>
        <v>1.0115117299883687E-2</v>
      </c>
      <c r="Q98" s="808">
        <f>P98*G96</f>
        <v>0.15386279119989446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2.6198878444676876</v>
      </c>
      <c r="P101" s="323"/>
      <c r="Q101" s="324">
        <f>'SHWLP-Apt'!AB54</f>
        <v>2.3618769124773515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0.3436006482495329</v>
      </c>
      <c r="P103" s="320"/>
      <c r="Q103" s="804">
        <f>((Q101-Q102)/Q102)</f>
        <v>0.17746249065349942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2.6198878444676876</v>
      </c>
      <c r="P104" s="320"/>
      <c r="Q104" s="808">
        <f>SUM(Q56:Q100)</f>
        <v>2.3618769124773515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5.1616520072670378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0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8.0055424669821934E-3</v>
      </c>
      <c r="O106" s="826">
        <f>N106*G106</f>
        <v>0.25101943866752818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5.8362343985197407E-3</v>
      </c>
      <c r="Q108" s="808">
        <f>P108*G106</f>
        <v>0.18299925191712846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3.2684947780093329E-2</v>
      </c>
      <c r="O111" s="826">
        <f>N111*G111</f>
        <v>0.30834656810007643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7.7845602943228476E-3</v>
      </c>
      <c r="Q113" s="808">
        <f t="shared" ref="Q113" si="29">P113*G111</f>
        <v>7.3438772705780267E-2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5.2195572671645152E-2</v>
      </c>
      <c r="O116" s="826">
        <f>N116*G116</f>
        <v>1.0486585987930217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1.0263272420151062E-2</v>
      </c>
      <c r="Q118" s="808">
        <f t="shared" ref="Q118" si="32">P118*G116</f>
        <v>0.2061988847761683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6.0321656099234844E-2</v>
      </c>
      <c r="O121" s="826">
        <f>N121*G121</f>
        <v>3.2251703352025181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1.1604707827958144E-2</v>
      </c>
      <c r="Q123" s="808">
        <f t="shared" ref="Q123" si="35">P123*G121</f>
        <v>0.62045974622864841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4.4480288662774217E-2</v>
      </c>
      <c r="O126" s="826">
        <f>N126*G126</f>
        <v>11.1787387135599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1.2378213629416707E-2</v>
      </c>
      <c r="Q128" s="808">
        <f t="shared" ref="Q128" si="38">P128*G126</f>
        <v>3.1108794493881122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5.2110283790749869E-2</v>
      </c>
      <c r="O131" s="826">
        <f>N131*G131</f>
        <v>8.6851059092980556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1.2522051019220021E-2</v>
      </c>
      <c r="Q133" s="808">
        <f t="shared" ref="Q133" si="41">P133*G131</f>
        <v>2.0870225873316923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6.5458725449663108E-2</v>
      </c>
      <c r="O136" s="826">
        <f>N136*G136</f>
        <v>5.3281241062074587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1.25639877276353E-2</v>
      </c>
      <c r="Q138" s="808">
        <f t="shared" ref="Q138" si="44">P138*G136</f>
        <v>1.0226671146108122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7.9985226511711388E-2</v>
      </c>
      <c r="O141" s="826">
        <f>N141*G141</f>
        <v>3.4586416405451419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1.2633773682710164E-2</v>
      </c>
      <c r="Q143" s="808">
        <f t="shared" ref="Q143" si="47">P143*G141</f>
        <v>0.54629708062209248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8.4071393597896699E-2</v>
      </c>
      <c r="O146" s="826">
        <f>N146*G146</f>
        <v>6.594184604156256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1.1503789663710838E-2</v>
      </c>
      <c r="Q148" s="808">
        <f t="shared" ref="Q148" si="50">P148*G146</f>
        <v>0.90230587889043512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40.077989914529958</v>
      </c>
      <c r="P151" s="323"/>
      <c r="Q151" s="324">
        <f>'SHWLP-Det'!AB54</f>
        <v>8.752268766470868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0.3461195562160182</v>
      </c>
      <c r="P153" s="320"/>
      <c r="Q153" s="804">
        <f>((Q151-Q152)/Q152)</f>
        <v>-0.34978764252802758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40.077989914529951</v>
      </c>
      <c r="P154" s="320"/>
      <c r="Q154" s="808">
        <f>SUM(Q106:Q150)</f>
        <v>8.752268766470868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50.286122721982018</v>
      </c>
    </row>
    <row r="155" spans="2:22" ht="13.5" thickBot="1">
      <c r="N155" s="805" t="s">
        <v>963</v>
      </c>
      <c r="O155" s="806">
        <f>((O151-O154)/O154)</f>
        <v>1.7729001311577722E-16</v>
      </c>
      <c r="P155" s="331"/>
      <c r="Q155" s="817">
        <f t="shared" ref="Q155" si="54">((Q151-Q154)/Q154)</f>
        <v>0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86.82553616659709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N3:O3"/>
    <mergeCell ref="P3:Q3"/>
    <mergeCell ref="T3:U3"/>
    <mergeCell ref="X39:AB39"/>
    <mergeCell ref="X56:AB56"/>
    <mergeCell ref="R3:S3"/>
    <mergeCell ref="X65:AC65"/>
    <mergeCell ref="AF24:AJ24"/>
    <mergeCell ref="AF25:AG25"/>
    <mergeCell ref="AH25:AJ25"/>
    <mergeCell ref="AF26:AG26"/>
    <mergeCell ref="AH26:AJ26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opLeftCell="C1" workbookViewId="0">
      <selection activeCell="P16" sqref="P1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9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15" t="s">
        <v>618</v>
      </c>
      <c r="C17" s="1115"/>
      <c r="D17" s="1115"/>
      <c r="E17" s="1115"/>
      <c r="F17" s="1115"/>
      <c r="G17" s="1115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2" t="s">
        <v>824</v>
      </c>
      <c r="R19" s="1133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14" zoomScale="60" zoomScaleNormal="60" workbookViewId="0">
      <selection activeCell="I27" sqref="I27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1137" t="s">
        <v>641</v>
      </c>
      <c r="P16" s="1137"/>
      <c r="Q16" s="1137"/>
      <c r="R16" s="1137" t="s">
        <v>642</v>
      </c>
      <c r="S16" s="1137"/>
      <c r="T16" s="1137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1137" t="s">
        <v>572</v>
      </c>
      <c r="I17" s="1137"/>
      <c r="J17" s="1137"/>
      <c r="K17" s="1137"/>
      <c r="L17" s="1137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34" t="s">
        <v>288</v>
      </c>
      <c r="C48" s="1135"/>
      <c r="D48" s="1135"/>
      <c r="E48" s="1135"/>
      <c r="F48" s="1135"/>
      <c r="G48" s="1135"/>
      <c r="H48" s="1135"/>
      <c r="I48" s="1135"/>
      <c r="J48" s="1135"/>
      <c r="K48" s="1135"/>
      <c r="L48" s="1136"/>
      <c r="M48" s="1143" t="s">
        <v>289</v>
      </c>
      <c r="N48" s="1144"/>
      <c r="O48" s="1145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7" t="s">
        <v>954</v>
      </c>
      <c r="AN50" s="1137"/>
      <c r="AO50" s="1137"/>
      <c r="AP50" s="1137"/>
      <c r="AQ50" s="1137"/>
      <c r="AR50" s="1137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38" t="s">
        <v>350</v>
      </c>
      <c r="T82" s="1139"/>
      <c r="U82" s="1139"/>
      <c r="V82" s="1139"/>
      <c r="W82" s="1139"/>
      <c r="X82" s="1139"/>
      <c r="Y82" s="1139"/>
      <c r="Z82" s="1140"/>
      <c r="AB82" s="1141" t="s">
        <v>351</v>
      </c>
      <c r="AC82" s="1141"/>
      <c r="AD82" s="1141"/>
      <c r="AE82" s="1141"/>
      <c r="AF82" s="1142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41"/>
      <c r="AC83" s="1141"/>
      <c r="AD83" s="1141"/>
      <c r="AE83" s="1141"/>
      <c r="AF83" s="1142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AM50:AR50"/>
    <mergeCell ref="AB82:AF83"/>
    <mergeCell ref="M48:O48"/>
    <mergeCell ref="B48:L48"/>
    <mergeCell ref="H17:L17"/>
    <mergeCell ref="O16:Q16"/>
    <mergeCell ref="R16:T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M22" zoomScale="70" zoomScaleNormal="70" workbookViewId="0">
      <selection activeCell="V38" sqref="V3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6" t="s">
        <v>643</v>
      </c>
      <c r="C4" s="1147"/>
      <c r="D4" s="1147"/>
      <c r="E4" s="1147"/>
      <c r="F4" s="1147"/>
      <c r="G4" s="1148"/>
      <c r="H4" s="1146" t="s">
        <v>644</v>
      </c>
      <c r="I4" s="1147"/>
      <c r="J4" s="1148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IF(AB7/S7/X7=0,0.12,AB7/S7/X7)</f>
        <v>0.12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0</v>
      </c>
      <c r="AC7" s="394">
        <f>IF(((D7+I7+D14+I14+D16+I16)*$B$2)&lt;=0.1,0,((D7+I7+D14+I14+D16+I16)*T7*$B$2))</f>
        <v>0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69">
        <f t="shared" ref="V8:V12" si="2">IF(AB8/S8/X8=0,0.12,AB8/S8/X8)</f>
        <v>0.12</v>
      </c>
      <c r="W8" s="399">
        <v>20</v>
      </c>
      <c r="X8" s="567">
        <f t="shared" ref="X8:X13" si="3">31.536*(AD8/1000)</f>
        <v>0.47304000000000002</v>
      </c>
      <c r="Y8" s="399"/>
      <c r="Z8" s="399"/>
      <c r="AA8" s="399"/>
      <c r="AB8" s="400">
        <f t="shared" si="0"/>
        <v>0</v>
      </c>
      <c r="AC8" s="401">
        <f>IF(((D8+I8)*$B$2)&lt;=0.1,0,((D8+I8)*T8*$B$2))</f>
        <v>0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si="2"/>
        <v>0.12</v>
      </c>
      <c r="W9" s="393">
        <v>20</v>
      </c>
      <c r="X9" s="391">
        <f t="shared" si="3"/>
        <v>0.47304000000000002</v>
      </c>
      <c r="Y9" s="393"/>
      <c r="Z9" s="393"/>
      <c r="AA9" s="393"/>
      <c r="AB9" s="394">
        <f t="shared" si="0"/>
        <v>0</v>
      </c>
      <c r="AC9" s="394">
        <f>IF(((D9+I9)*$B$2)&lt;=0.1,0,((D9+I9)*T9*$B$2))</f>
        <v>0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69">
        <f t="shared" si="2"/>
        <v>0.12</v>
      </c>
      <c r="W10" s="399">
        <v>20</v>
      </c>
      <c r="X10" s="567">
        <f t="shared" si="3"/>
        <v>0.47304000000000002</v>
      </c>
      <c r="Y10" s="399"/>
      <c r="Z10" s="399"/>
      <c r="AA10" s="399"/>
      <c r="AB10" s="400">
        <f t="shared" si="0"/>
        <v>0</v>
      </c>
      <c r="AC10" s="401">
        <f>IF(((D10+I10+D11+I11)*T10*$B$2)&lt;=0.1,0,((D10+I10+D11+I11)*T10*$B$2))</f>
        <v>0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2"/>
        <v>1.3931119040234956E-2</v>
      </c>
      <c r="W11" s="393">
        <v>20</v>
      </c>
      <c r="X11" s="391">
        <f t="shared" si="3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IF(((D25+I25)*T11*$B$2)&lt;=0.1,0,((D25+I25)*T11*$B$2))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69">
        <f t="shared" si="2"/>
        <v>0.18130269923092618</v>
      </c>
      <c r="W12" s="399">
        <v>20</v>
      </c>
      <c r="X12" s="567">
        <f t="shared" si="3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IF(((D12+I12)*T12*$B$2)&lt;=0.1,0,((D12+I12)*T12*$B$2))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3"/>
        <v>0.31536000000000003</v>
      </c>
      <c r="Y13" s="393"/>
      <c r="Z13" s="393"/>
      <c r="AA13" s="394">
        <f>AC13/AB12</f>
        <v>0.23179397146960065</v>
      </c>
      <c r="AB13" s="394"/>
      <c r="AC13" s="394">
        <f>RSD_Balance!F22</f>
        <v>0.21442628392933846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</f>
        <v>1.1928833867748834</v>
      </c>
      <c r="U14" s="571">
        <f>G13/100</f>
        <v>0.81016216216216219</v>
      </c>
      <c r="V14" s="569">
        <f>IF(AB14/S14/X14=0,0.12,AB14/S14/X14)</f>
        <v>6.660425456369494E-2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0.19422622494582817</v>
      </c>
      <c r="AC14" s="401">
        <f>IF(((D13+I13)*$B$2)&lt;=0.1,0,((D13+I13)*T14*$B$2))</f>
        <v>0.23973746740711377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69">
        <f>IF(AB16/S16/X16=0,0.12,AB16/S16/X16)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IF(((D15+I15)*$B$2)&lt;=0.1,0,((D15+I15)*T16*$B$2))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69">
        <f>IF(AB18/S18/X18=0,0.12,AB18/S18/X18)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IF(((D17+I17)+D18+I18*$B$2)&lt;=0.1,0,((D17+I17+D18+I18)*T18*$B$2))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69">
        <f>IF(AB20/S20/X20=0,0.12,AB20/S20/X20)</f>
        <v>0.12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0</v>
      </c>
      <c r="AC20" s="401">
        <f>IF(((D19+I19)*$B$2)&lt;=0.1,0,((D19+I19)*T20*$B$2))*Y20</f>
        <v>0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0</v>
      </c>
      <c r="AC21" s="394">
        <f>IF(((D19+I19)*$B$2)&lt;=0.1,0,((D19+I19)*T20*$B$2))*Y21</f>
        <v>0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0</v>
      </c>
      <c r="AC22" s="401">
        <f>IF(((D19+I19)*$B$2)&lt;=0.1,0,((D19+I19)*T20*$B$2))*Y22</f>
        <v>0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IF(AB23/S23/X23=0,0.12,AB23/S23/X23)</f>
        <v>0.12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0</v>
      </c>
      <c r="AC23" s="394">
        <f>IF(((D20+I20+D21+I21+D22+I22+D23+I23)*$B$2)&lt;=0.1,0,((D20+I20+D21+I21+D22+I22+D23+I23)*T23*$B$2))</f>
        <v>0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69">
        <f>IF(AB24/S24/X24=0,0.12,AB24/S24/X24)</f>
        <v>0.12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2.6198878444676876</v>
      </c>
      <c r="AC27" s="382">
        <f>SUM(AC6:AC25)</f>
        <v>2.5024563392652799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6" t="s">
        <v>643</v>
      </c>
      <c r="C28" s="1147"/>
      <c r="D28" s="1147"/>
      <c r="E28" s="1147"/>
      <c r="F28" s="1147"/>
      <c r="G28" s="1148"/>
      <c r="H28" s="1146" t="s">
        <v>644</v>
      </c>
      <c r="I28" s="1147"/>
      <c r="J28" s="114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0.99961727430130343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1150">
        <f>(E31+E38+E40)/SUM($E$31:$E$49)*0-($R$51/7)*0</f>
        <v>0</v>
      </c>
      <c r="S33" s="390">
        <f>R33*DwellingStocks!$I$28/1000</f>
        <v>0</v>
      </c>
      <c r="T33" s="444">
        <f>IFERROR((S33*1000)/(E31+E38+E40),0)+1.0376</f>
        <v>1.0376000000000001</v>
      </c>
      <c r="U33" s="569">
        <f t="shared" ref="U33:U38" si="6">U7</f>
        <v>0.59018803418803423</v>
      </c>
      <c r="V33" s="569">
        <f>+V36</f>
        <v>0.12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0</v>
      </c>
      <c r="AC33" s="394">
        <f>IF(((D31+I31+D38+I38+D40+I40)*$B$2)&lt;=0.1,0,((D31+I31+D38+I38+D40+I40)*T33*$B$2))</f>
        <v>0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1150">
        <f>E32/SUM($E$31:$E$49)*0</f>
        <v>0</v>
      </c>
      <c r="S34" s="397">
        <f>R34*DwellingStocks!$I$28/1000</f>
        <v>0</v>
      </c>
      <c r="T34" s="398">
        <f>IFERROR((S34*1000)/E32,0)</f>
        <v>0</v>
      </c>
      <c r="U34" s="570">
        <f t="shared" si="6"/>
        <v>0.9</v>
      </c>
      <c r="V34" s="569">
        <f>+V36</f>
        <v>0.12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0</v>
      </c>
      <c r="AC34" s="401">
        <f>IF(((D32+I32)*$B$2)&lt;=0.1,0,((D32+I32)*T34*$B$2))</f>
        <v>0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1150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>IF(AB35/S35/X35=0,0.12,AB35/S35/X35)</f>
        <v>0.12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0</v>
      </c>
      <c r="AC35" s="394">
        <f>IF(((D33+I33)*$B$2)&lt;=0.1,0,((D33+I33)*T35*$B$2))</f>
        <v>0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69">
        <f>IF(AB36/S36/X36=0,0.12,AB36/S36/X36)</f>
        <v>0.12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0</v>
      </c>
      <c r="AC36" s="401">
        <f>IF(((D34+I34+D35+I35)*$B$2)&lt;=0.1,0,((D34+I34+D35+I35)*T36*$B$2))</f>
        <v>0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ref="V37:V38" si="10">AB37/S37/X37</f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IF(((D49+I49)*$B$2)&lt;=0.1,0,((D49+I49)*T37*$B$2))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0.49058779213070874</v>
      </c>
      <c r="W38" s="399">
        <v>20</v>
      </c>
      <c r="X38" s="567">
        <f>+X37</f>
        <v>9.4608000000000012E-2</v>
      </c>
      <c r="Y38" s="399"/>
      <c r="Z38" s="399"/>
      <c r="AA38" s="399"/>
      <c r="AB38" s="400">
        <f t="shared" si="8"/>
        <v>1.4946175630079022</v>
      </c>
      <c r="AC38" s="401">
        <f>IF(((D49+I49)*$B$2)&lt;=0.1,0,((D49+I49)*T38*$B$2))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0.23179397146960065</v>
      </c>
      <c r="AB39" s="400"/>
      <c r="AC39" s="401">
        <f>RSD_Balance!I22</f>
        <v>0.34644334075781774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>IF(AB40/S40/X40=0,0.12,AB40/S40/X40)</f>
        <v>0.12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0</v>
      </c>
      <c r="AC40" s="394">
        <f>IF(((D37+I37)*$B$2)&lt;=0.1,0,((D37+I37)*T40*$B$2))</f>
        <v>0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</f>
        <v>RSDGAS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IF(((D39+I39)*$B$2)&lt;=0.1,0,((D39+I39)*T42*$B$2))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IF(AB44/S44/X44=0,0.12,AB44/S44/X44)</f>
        <v>0.12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69">
        <f>IF(AB46/S46/X46=0,0.12,AB46/S46/X46)</f>
        <v>0.12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0</v>
      </c>
      <c r="AC46" s="401">
        <f>IF(((D43+I43)*$B$2)&lt;=0.1,0,((D43+I43)*T46*$B$2))*Y46</f>
        <v>0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0</v>
      </c>
      <c r="AC47" s="394">
        <f>IF(((D43+I43)*$B$2)&lt;=0.1,0,((D43+I43)*T46*$B$2))*Y47</f>
        <v>0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0</v>
      </c>
      <c r="AC48" s="401">
        <f>IF(((D43+I43)*$B$2)&lt;=0.1,0,((D43+I43)*T46*$B$2))*Y48</f>
        <v>0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IF(AB49/S49/X49=0,0.12,AB49/S49/X49)</f>
        <v>0.12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69">
        <f>IF(AB50/S50/X50=0,0.12,AB50/S50/X50)</f>
        <v>0.12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211.7388160865155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2.3618769124773515</v>
      </c>
      <c r="AC54" s="382">
        <f>SUM(AC31:AC52)</f>
        <v>1.8157156565743855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O1" zoomScale="60" zoomScaleNormal="60" workbookViewId="0">
      <selection activeCell="V8" sqref="V8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2" width="15.28515625" style="48" customWidth="1"/>
    <col min="23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6" t="s">
        <v>643</v>
      </c>
      <c r="C4" s="1147"/>
      <c r="D4" s="1147"/>
      <c r="E4" s="1147"/>
      <c r="F4" s="1147"/>
      <c r="G4" s="1148"/>
      <c r="H4" s="1146" t="s">
        <v>644</v>
      </c>
      <c r="I4" s="1147"/>
      <c r="J4" s="1148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 t="shared" ref="V7:V18" si="0">IF(AB7/S7/X7=0,0.12,AB7/S7/X7)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IF(((D7+I7+D14+I14+D16+I16)*$B$2)&lt;=0.1,0,((D7+I7+D14+I14+D16+I16)*T7*$B$2))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R-SH_Att_COA_X0</v>
      </c>
      <c r="AI7" s="294" t="str">
        <f t="shared" si="1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69">
        <f t="shared" si="0"/>
        <v>0.12</v>
      </c>
      <c r="W8" s="399">
        <v>20</v>
      </c>
      <c r="X8" s="567">
        <f t="shared" ref="X8:X13" si="2">31.536*(AD8/1000)</f>
        <v>0.63072000000000006</v>
      </c>
      <c r="Y8" s="399"/>
      <c r="Z8" s="399"/>
      <c r="AA8" s="399"/>
      <c r="AB8" s="400">
        <f>AC8*U8</f>
        <v>0</v>
      </c>
      <c r="AC8" s="401">
        <f>IF(((D8+I8)*$B$2)&lt;=0.1,0,((D8+I8)*T8*$B$2))</f>
        <v>0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R-SH_Att_BDL_X0</v>
      </c>
      <c r="AI8" s="26" t="str">
        <f t="shared" si="1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1070">
        <f>+V8</f>
        <v>0.12</v>
      </c>
      <c r="W9" s="393">
        <v>20</v>
      </c>
      <c r="X9" s="391">
        <f t="shared" si="2"/>
        <v>0.63072000000000006</v>
      </c>
      <c r="Y9" s="393"/>
      <c r="Z9" s="393"/>
      <c r="AA9" s="393"/>
      <c r="AB9" s="394">
        <f>IFERROR(AC9*U9,0)</f>
        <v>0</v>
      </c>
      <c r="AC9" s="394">
        <f>IF(((D9+I9)*$B$2)&lt;=0.1,0,((D9+I9)*T9*$B$2))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R-SH_Att_ETH_X0</v>
      </c>
      <c r="AI9" s="294" t="str">
        <f t="shared" si="1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69">
        <f t="shared" si="0"/>
        <v>4.8109166237074036E-2</v>
      </c>
      <c r="W10" s="399">
        <v>20</v>
      </c>
      <c r="X10" s="567">
        <f t="shared" si="2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IF(((D10+I10+D11+I11)*T10*$B$2)&lt;=0.1,0,((D10+I10+D11+I11)*T10*$B$2))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R-SH_Att_LPG_X0</v>
      </c>
      <c r="AI10" s="26" t="str">
        <f t="shared" si="1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0"/>
        <v>3.5156391297092457E-2</v>
      </c>
      <c r="W11" s="393">
        <v>20</v>
      </c>
      <c r="X11" s="391">
        <f t="shared" si="2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IF(((D25+I25)*T11*$B$2)&lt;=0.1,0,((D25+I25)*T11*$B$2))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R-SH_Att_ELC_X0</v>
      </c>
      <c r="AI11" s="294" t="str">
        <f t="shared" si="1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69">
        <f t="shared" si="0"/>
        <v>0.11404303534564036</v>
      </c>
      <c r="W12" s="399">
        <v>20</v>
      </c>
      <c r="X12" s="567">
        <f t="shared" si="2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IF(((D12+I12)*T12*$B$2)&lt;=0.1,0,((D12+I12)*T12*$B$2))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R-SH_Att_ELC_X1</v>
      </c>
      <c r="AI12" s="26" t="str">
        <f t="shared" si="1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2"/>
        <v>0.409968</v>
      </c>
      <c r="AA13" s="617">
        <f>AC13/AB12</f>
        <v>0.2284040885078065</v>
      </c>
      <c r="AC13" s="560">
        <f>RSD_Balance!G22</f>
        <v>0.1328039621482244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(S14*1000)/E13*DwellingStocks!$S$27*1.21</f>
        <v>1.6505071499073904</v>
      </c>
      <c r="U14" s="569">
        <f>G13/100</f>
        <v>0.81941558441558437</v>
      </c>
      <c r="V14" s="569">
        <f t="shared" si="0"/>
        <v>4.7079298490866263E-2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7.0106452373996984</v>
      </c>
      <c r="AC14" s="394">
        <f>IF(((D13+I13)*$B$2)&lt;=0.1,0,((D13+I13)*T14*$B$2))</f>
        <v>8.5556650016606195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</f>
        <v>RSDGAS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 t="shared" si="0"/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IF(((D15+I15)*$B$2)&lt;=0.1,0,((D15+I15)*T16*$B$2))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 t="shared" si="0"/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IF(((D17+I17)+D18+I18*$B$2)&lt;=0.1,0,((D17+I17+D18+I18)*T18*$B$2))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IF(((D19+I19)*$B$2)&lt;=0.1,0,((D19+I19)*T20*$B$2))*Y20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IF(((D19+I19)*$B$2)&lt;=0.1,0,((D19+I19)*T20*$B$2))*Y21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IF(((D19+I19)*$B$2)&lt;=0.1,0,((D19+I19)*T20*$B$2))*Y22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 t="shared" ref="V23:V24" si="4">IF(AB23/S23/X23=0,0.12,AB23/S23/X23)</f>
        <v>0.12</v>
      </c>
      <c r="W23" s="393">
        <v>20</v>
      </c>
      <c r="X23" s="391">
        <f t="shared" ref="X23:X24" si="5">31.536*(AD23/1000)</f>
        <v>0.63072000000000006</v>
      </c>
      <c r="Y23" s="393"/>
      <c r="Z23" s="393"/>
      <c r="AA23" s="393"/>
      <c r="AB23" s="394">
        <f>AC23*U23</f>
        <v>0</v>
      </c>
      <c r="AC23" s="394">
        <f>IF(((D20+I20+D21+I21+D22+I22+D23+I23)*$B$2)&lt;=0.1,0,((D20+I20+D21+I21+D22+I22+D23+I23)*T23*$B$2))</f>
        <v>0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69">
        <f t="shared" si="4"/>
        <v>0.12</v>
      </c>
      <c r="W24" s="399">
        <v>20</v>
      </c>
      <c r="X24" s="567">
        <f t="shared" si="5"/>
        <v>0.63072000000000006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22.590024412131413</v>
      </c>
      <c r="AC27" s="382">
        <f>SUM(AC6:AC25)</f>
        <v>29.272834945441659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6" t="s">
        <v>643</v>
      </c>
      <c r="C28" s="1147"/>
      <c r="D28" s="1147"/>
      <c r="E28" s="1147"/>
      <c r="F28" s="1147"/>
      <c r="G28" s="1148"/>
      <c r="H28" s="1146" t="s">
        <v>644</v>
      </c>
      <c r="I28" s="1147"/>
      <c r="J28" s="1148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6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IF(((D31+I31+D38+I38+D40+I40)*$B$2)&lt;=0.1,0,((D31+I31+D38+I38+D40+I40)*T33*$B$2))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7">M33</f>
        <v>R-WH_Att_COA_X0</v>
      </c>
      <c r="AI33" s="294" t="str">
        <f t="shared" si="7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69">
        <f t="shared" ref="V34:V36" si="8">IF(AB34/S34/X34=0,0.12,AB34/S34/X34)</f>
        <v>0.12</v>
      </c>
      <c r="W34" s="399">
        <v>20</v>
      </c>
      <c r="X34" s="567">
        <f t="shared" si="6"/>
        <v>0.15768000000000001</v>
      </c>
      <c r="Y34" s="399"/>
      <c r="Z34" s="399"/>
      <c r="AA34" s="399"/>
      <c r="AB34" s="400">
        <f>AC34*U34</f>
        <v>0</v>
      </c>
      <c r="AC34" s="401">
        <f>IF(((D32+I32)*$B$2)&lt;=0.1,0,((D32+I32)*T34*$B$2))</f>
        <v>0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7"/>
        <v>R-WH_Att_BDL_X0</v>
      </c>
      <c r="AI34" s="26" t="str">
        <f t="shared" si="7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 t="shared" si="8"/>
        <v>0.12</v>
      </c>
      <c r="W35" s="393">
        <v>20</v>
      </c>
      <c r="X35" s="391">
        <f t="shared" si="6"/>
        <v>0.15768000000000001</v>
      </c>
      <c r="Y35" s="393"/>
      <c r="Z35" s="393"/>
      <c r="AA35" s="393"/>
      <c r="AB35" s="394">
        <f>IFERROR(AC35*U35,0)</f>
        <v>0</v>
      </c>
      <c r="AC35" s="394">
        <f>IF(((D33+I33)*$B$2)&lt;=0.1,0,((D33+I33)*T35*$B$2))</f>
        <v>0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7"/>
        <v>R-WH_Att_ETH_X0</v>
      </c>
      <c r="AI35" s="294" t="str">
        <f t="shared" si="7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69">
        <f t="shared" si="8"/>
        <v>0.12</v>
      </c>
      <c r="W36" s="399">
        <v>20</v>
      </c>
      <c r="X36" s="567">
        <f t="shared" si="6"/>
        <v>0.15768000000000001</v>
      </c>
      <c r="Y36" s="399"/>
      <c r="Z36" s="399"/>
      <c r="AA36" s="399"/>
      <c r="AB36" s="400">
        <f>AC36*U36</f>
        <v>0</v>
      </c>
      <c r="AC36" s="401">
        <f>IF(((D34+I34+D35+I35)*$B$2)&lt;=0.1,0,((D34+I34+D35+I35)*T36*$B$2))</f>
        <v>0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7"/>
        <v>R-WH_Att_LPG_X0</v>
      </c>
      <c r="AI36" s="26" t="str">
        <f t="shared" si="7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ref="V37:V42" si="9">AB37/S37/X37</f>
        <v>6.207793636382708E-2</v>
      </c>
      <c r="W37" s="393">
        <v>20</v>
      </c>
      <c r="X37" s="391">
        <f t="shared" si="6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IF(((D49+I49)*$B$2)&lt;=0.1,0,((D49+I49)*T37*$B$2))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7"/>
        <v>R-WH_Att_ELC_X0</v>
      </c>
      <c r="AI37" s="294" t="str">
        <f t="shared" si="7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9"/>
        <v>0.66299984214582264</v>
      </c>
      <c r="W38" s="399">
        <v>20</v>
      </c>
      <c r="X38" s="567">
        <f t="shared" si="6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IF(((D49+I49)*$B$2)&lt;=0.1,0,((D49+I49)*T38*$B$2))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7"/>
        <v>R-WH_Att_ELC_X1</v>
      </c>
      <c r="AI38" s="26" t="str">
        <f t="shared" si="7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0.22840408850780652</v>
      </c>
      <c r="AB39" s="400"/>
      <c r="AC39" s="401">
        <f>RSD_Balance!J22</f>
        <v>0.15691600991970089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9"/>
        <v>6.990312058817566E-2</v>
      </c>
      <c r="W40" s="393">
        <v>20</v>
      </c>
      <c r="X40" s="391">
        <f t="shared" si="6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IF(((D37+I37)*$B$2)&lt;=0.1,0,((D37+I37)*T40*$B$2))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</f>
        <v>RSDGAS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9"/>
        <v>4.9806776874505576E-2</v>
      </c>
      <c r="W42" s="393">
        <v>20</v>
      </c>
      <c r="X42" s="391">
        <f t="shared" ref="X42" si="10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IF(((D39+I39)*$B$2)&lt;=0.1,0,((D39+I39)*T42*$B$2))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 t="shared" ref="V44" si="11">IF(AB44/S44/X44=0,0.12,AB44/S44/X44)</f>
        <v>0.12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12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IF(((D43+I43)*$B$2)&lt;=0.1,0,((D43+I43)*T46*$B$2))*Y46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IF(((D43+I43)*$B$2)&lt;=0.1,0,((D43+I43)*T46*$B$2))*Y47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3">AC48*$U$46</f>
        <v>1.7176197785969346E-2</v>
      </c>
      <c r="AC48" s="401">
        <f>IF(((D43+I43)*$B$2)&lt;=0.1,0,((D43+I43)*T46*$B$2))*Y48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4">M51</f>
        <v>R-WH_Att_SOL_X0</v>
      </c>
      <c r="AI48" s="26" t="str">
        <f t="shared" ref="AI48" si="15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 t="shared" ref="V49:V50" si="16">IF(AB49/S49/X49=0,0.12,AB49/S49/X49)</f>
        <v>0.12</v>
      </c>
      <c r="W49" s="393">
        <v>20</v>
      </c>
      <c r="X49" s="391">
        <f t="shared" ref="X49:X50" si="17">31.536*(AD49/1000)</f>
        <v>0.15768000000000001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69">
        <f t="shared" si="16"/>
        <v>0.12</v>
      </c>
      <c r="W50" s="399">
        <v>20</v>
      </c>
      <c r="X50" s="567">
        <f t="shared" si="17"/>
        <v>0.15768000000000001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7.7640972239661528</v>
      </c>
      <c r="AC54" s="382">
        <f>SUM(AC31:AC52)</f>
        <v>9.1236249190255627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8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8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zoomScale="70" zoomScaleNormal="70" workbookViewId="0">
      <selection activeCell="AC27" sqref="AC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6" t="s">
        <v>643</v>
      </c>
      <c r="C4" s="1147"/>
      <c r="D4" s="1147"/>
      <c r="E4" s="1147"/>
      <c r="F4" s="1147"/>
      <c r="G4" s="1148"/>
      <c r="H4" s="1146" t="s">
        <v>644</v>
      </c>
      <c r="I4" s="1147"/>
      <c r="J4" s="1148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IF(((D7+I7+D14+I14+D16+I16)*$B$2)&lt;=0.1,0,((D7+I7+D14+I14+D16+I16)*T7*$B$2))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69">
        <f>+V10</f>
        <v>6.9794671886081558E-2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IF(((D8+I8)*$B$2)&lt;=0.1,0,((D8+I8)*T8*$B$2))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+V8</f>
        <v>6.9794671886081558E-2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IF(((D9+I9)*$B$2)&lt;=0.1,0,((D9+I9)*T9*$B$2))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69">
        <f t="shared" ref="V10" si="2">IF(AB10/S10/X10=0,0.12,AB10/S10/X10)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IF(((D10+I10+D11+I11)*T10*$B$2)&lt;=0.1,0,((D10+I10+D11+I11)*T10*$B$2))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ref="V11:V12" si="3">AB11/S11/X11</f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IF(((D25+I25)*T11*$B$2)&lt;=0.1,0,((D25+I25)*T11*$B$2))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3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IF(((D12+I12)*T12*$B$2)&lt;=0.1,0,((D12+I12)*T12*$B$2))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0.23032451200792542</v>
      </c>
      <c r="AC13" s="560">
        <f>RSD_Balance!H22</f>
        <v>0.14941040324491844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(S14*1000)/E13*DwellingStocks!$T$27*1.21</f>
        <v>2.4217595970519534</v>
      </c>
      <c r="U14" s="569">
        <f>G13/100</f>
        <v>0.82280373831775711</v>
      </c>
      <c r="V14" s="569">
        <f>AB14/S14/X14</f>
        <v>5.3753546876215134E-2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26.001024232919811</v>
      </c>
      <c r="AC14" s="394">
        <f>IF(((D13+I13)*$B$2)&lt;=0.1,0,((D13+I13)*T14*$B$2))</f>
        <v>31.600517865997496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</f>
        <v>RSDGAS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IF(((D15+I15)*$B$2)&lt;=0.1,0,((D15+I15)*T16*$B$2))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IF(((D17+I17)+D18+I18*$B$2)&lt;=0.1,0,((D17+I17+D18+I18)*T18*$B$2))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IF(((D19+I19)*$B$2)&lt;=0.1,0,((D19+I19)*T20*$B$2))*Y20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IF(((D19+I19)*$B$2)&lt;=0.1,0,((D19+I19)*T20*$B$2))*Y21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IF(((D19+I19)*$B$2)&lt;=0.1,0,((D19+I19)*T20*$B$2))*Y22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4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IF(((D20+I20+D21+I21+D22+I22+D23+I23)*$B$2)&lt;=0.1,0,((D20+I20+D21+I21+D22+I22+D23+I23)*T23*$B$2))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69">
        <f t="shared" ref="V24" si="5">IF(AB24/S24/X24=0,0.12,AB24/S24/X24)</f>
        <v>0.12</v>
      </c>
      <c r="W24" s="399">
        <v>20</v>
      </c>
      <c r="X24" s="567">
        <f t="shared" si="4"/>
        <v>0.94608000000000003</v>
      </c>
      <c r="Y24" s="399"/>
      <c r="Z24" s="399"/>
      <c r="AA24" s="399"/>
      <c r="AB24" s="400">
        <f>AC24*U24</f>
        <v>0</v>
      </c>
      <c r="AC24" s="401">
        <f>IF(((D24+I24)*$B$2)&lt;=0.1,0,((D24+I24)*T24*$B$2))</f>
        <v>0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40.077989914529958</v>
      </c>
      <c r="AC27" s="382">
        <f>SUM(AC6:AC25)</f>
        <v>50.578427820347997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6" t="s">
        <v>643</v>
      </c>
      <c r="C28" s="1147"/>
      <c r="D28" s="1147"/>
      <c r="E28" s="1147"/>
      <c r="F28" s="1147"/>
      <c r="G28" s="1148"/>
      <c r="H28" s="1146" t="s">
        <v>644</v>
      </c>
      <c r="I28" s="1147"/>
      <c r="J28" s="1148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 t="shared" ref="V33:V38" si="6">IF(AB33/S33/X33=0,0.12,AB33/S33/X33)</f>
        <v>0.12</v>
      </c>
      <c r="W33" s="393">
        <v>20</v>
      </c>
      <c r="X33" s="391">
        <f t="shared" ref="X33:X40" si="7">31.536*(AD33/1000)</f>
        <v>0.25228800000000001</v>
      </c>
      <c r="Y33" s="393"/>
      <c r="Z33" s="393"/>
      <c r="AA33" s="393"/>
      <c r="AB33" s="394">
        <f>AC33*U33</f>
        <v>0</v>
      </c>
      <c r="AC33" s="394">
        <f>IF(((D31+I31+D38+I38+D40+I40)*$B$2)&lt;=0.1,0,((D31+I31+D38+I38+D40+I40)*T33*$B$2))</f>
        <v>0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8">M33</f>
        <v>R-WH_Det_COA_X0</v>
      </c>
      <c r="AI33" s="294" t="str">
        <f t="shared" si="8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69">
        <f t="shared" si="6"/>
        <v>0.12</v>
      </c>
      <c r="W34" s="399">
        <v>20</v>
      </c>
      <c r="X34" s="567">
        <f t="shared" si="7"/>
        <v>0.25228800000000001</v>
      </c>
      <c r="Y34" s="399"/>
      <c r="Z34" s="399"/>
      <c r="AA34" s="399"/>
      <c r="AB34" s="400">
        <f>AC34*U34</f>
        <v>0</v>
      </c>
      <c r="AC34" s="401">
        <f>IF(((D32+I32)*$B$2)&lt;=0.1,0,((D32+I32)*T34*$B$2))</f>
        <v>0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8"/>
        <v>R-WH_Det_BDL_X0</v>
      </c>
      <c r="AI34" s="26" t="str">
        <f t="shared" si="8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 t="shared" si="6"/>
        <v>0.12</v>
      </c>
      <c r="W35" s="393">
        <v>20</v>
      </c>
      <c r="X35" s="391">
        <f t="shared" si="7"/>
        <v>0.25228800000000001</v>
      </c>
      <c r="Y35" s="393"/>
      <c r="Z35" s="393"/>
      <c r="AA35" s="393"/>
      <c r="AB35" s="394">
        <f>IFERROR(AC35*U35,0)</f>
        <v>0</v>
      </c>
      <c r="AC35" s="394">
        <f>IF(((D33+I33)*$B$2)&lt;=0.1,0,((D33+I33)*T35*$B$2))</f>
        <v>0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8"/>
        <v>R-WH_Det_ETH_X0</v>
      </c>
      <c r="AI35" s="294" t="str">
        <f t="shared" si="8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69">
        <f t="shared" si="6"/>
        <v>0.12</v>
      </c>
      <c r="W36" s="399">
        <v>20</v>
      </c>
      <c r="X36" s="567">
        <f t="shared" si="7"/>
        <v>0.25228800000000001</v>
      </c>
      <c r="Y36" s="399"/>
      <c r="Z36" s="399"/>
      <c r="AA36" s="399"/>
      <c r="AB36" s="400">
        <f>AC36*U36</f>
        <v>0</v>
      </c>
      <c r="AC36" s="401">
        <f>IF(((D34+I34+D35+I35)*$B$2)&lt;=0.1,0,((D34+I34+D35+I35)*T36*$B$2))</f>
        <v>0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8"/>
        <v>R-WH_Det_LPG_X0</v>
      </c>
      <c r="AI36" s="26" t="str">
        <f t="shared" si="8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0.12</v>
      </c>
      <c r="W37" s="393">
        <v>20</v>
      </c>
      <c r="X37" s="391">
        <f t="shared" si="7"/>
        <v>0.25228800000000001</v>
      </c>
      <c r="Y37" s="393"/>
      <c r="Z37" s="393"/>
      <c r="AA37" s="393"/>
      <c r="AB37" s="394">
        <f>AC37*U37</f>
        <v>0</v>
      </c>
      <c r="AC37" s="394">
        <f>IF(((D49+I49)*$B$2)&lt;=0.1,0,((D49+I49)*T37*$B$2))</f>
        <v>0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8"/>
        <v>R-WH_Det_ELC_X0</v>
      </c>
      <c r="AI37" s="294" t="str">
        <f t="shared" si="8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69">
        <f t="shared" si="6"/>
        <v>0.12</v>
      </c>
      <c r="W38" s="399">
        <v>20</v>
      </c>
      <c r="X38" s="567">
        <f t="shared" si="7"/>
        <v>6.3072000000000003E-2</v>
      </c>
      <c r="Y38" s="399"/>
      <c r="Z38" s="399"/>
      <c r="AA38" s="399"/>
      <c r="AB38" s="400">
        <f>AC38*U38</f>
        <v>0</v>
      </c>
      <c r="AC38" s="401">
        <f>IF(((D49+I49)*$B$2)&lt;=0.1,0,((D49+I49)*T38*$B$2))</f>
        <v>0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8"/>
        <v>R-WH_Det_ELC_X1</v>
      </c>
      <c r="AI38" s="26" t="str">
        <f t="shared" si="8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0.18921600000000002</v>
      </c>
      <c r="Y39" s="399"/>
      <c r="Z39" s="399"/>
      <c r="AA39" s="399" t="e">
        <f>AC39/AB38</f>
        <v>#DIV/0!</v>
      </c>
      <c r="AB39" s="400"/>
      <c r="AC39" s="401">
        <f>RSD_Balance!K22</f>
        <v>0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ref="V40:V42" si="9">AB40/S40/X40</f>
        <v>5.371147507918328E-2</v>
      </c>
      <c r="W40" s="393">
        <v>20</v>
      </c>
      <c r="X40" s="391">
        <f t="shared" si="7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IF(((D37+I37)*$B$2)&lt;=0.1,0,((D37+I37)*T40*$B$2))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</f>
        <v>RSDGAS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9"/>
        <v>4.2554933846820381E-2</v>
      </c>
      <c r="W42" s="393">
        <v>20</v>
      </c>
      <c r="X42" s="391">
        <f t="shared" ref="X42" si="10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IF(((D39+I39)*$B$2)&lt;=0.1,0,((D39+I39)*T42*$B$2))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ref="V44" si="11">IF(AB44/S44/X44=0,0.12,AB44/S44/X44)</f>
        <v>0.12</v>
      </c>
      <c r="W44" s="393">
        <v>20</v>
      </c>
      <c r="X44" s="391">
        <f t="shared" ref="X44" si="12">31.536*(AD44/1000)</f>
        <v>0.25228800000000001</v>
      </c>
      <c r="Y44" s="393"/>
      <c r="Z44" s="393"/>
      <c r="AA44" s="393"/>
      <c r="AB44" s="394">
        <f>AC44*U44</f>
        <v>0</v>
      </c>
      <c r="AC44" s="394">
        <f>IF(((D41+I41+D42+I42)*$B$2)&lt;=0.1,0,((D41+I41+D42+I42)*T44*$B$2))</f>
        <v>0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13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IF(((D43+I43)*$B$2)&lt;=0.1,0,((D43+I43)*T46*$B$2))*Y46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4">AC47*$U$46</f>
        <v>0.23714212243764654</v>
      </c>
      <c r="AC47" s="394">
        <f>IF(((D43+I43)*$B$2)&lt;=0.1,0,((D43+I43)*T46*$B$2))*Y47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4"/>
        <v>1.9761843536470546E-2</v>
      </c>
      <c r="AC48" s="401">
        <f>IF(((D43+I43)*$B$2)&lt;=0.1,0,((D43+I43)*T46*$B$2))*Y48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5">M51</f>
        <v>R-WH_Det_SOL_X0</v>
      </c>
      <c r="AI48" s="26" t="str">
        <f t="shared" ref="AI48" si="16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7">IF(AB49/S49/X49=0,0.12,AB49/S49/X49)</f>
        <v>0.12</v>
      </c>
      <c r="W49" s="393">
        <v>20</v>
      </c>
      <c r="X49" s="391">
        <f t="shared" ref="X49:X51" si="18">31.536*(AD49/1000)</f>
        <v>0.25228800000000001</v>
      </c>
      <c r="Y49" s="393"/>
      <c r="Z49" s="393"/>
      <c r="AA49" s="393"/>
      <c r="AB49" s="394">
        <f>AC49*U49</f>
        <v>0</v>
      </c>
      <c r="AC49" s="394">
        <f>IF(((D44+I44+D45+I45+D46+I46+D47+I47)*$B$2)&lt;=0.1,0,((D44+I44+D45+I45+D46+I46+D47+I47)*T49*$B$2))</f>
        <v>0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69">
        <f t="shared" si="17"/>
        <v>0.12</v>
      </c>
      <c r="W50" s="399">
        <v>20</v>
      </c>
      <c r="X50" s="567">
        <f t="shared" si="18"/>
        <v>0.25228800000000001</v>
      </c>
      <c r="Y50" s="399"/>
      <c r="Z50" s="399"/>
      <c r="AA50" s="399"/>
      <c r="AB50" s="400">
        <f>AC50*U50</f>
        <v>0</v>
      </c>
      <c r="AC50" s="401">
        <f>IF(((D48+I48)*$B$2)&lt;=0.1,0,((D48+I48)*T50*$B$2))</f>
        <v>0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8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8.752268766470868</v>
      </c>
      <c r="AC54" s="382">
        <f>SUM(AC31:AC52)</f>
        <v>10.702789831101146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9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20">AB60/S60/X60</f>
        <v>0.29872122806778129</v>
      </c>
      <c r="W60" s="577">
        <v>15</v>
      </c>
      <c r="X60" s="578">
        <f t="shared" si="19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9" t="s">
        <v>413</v>
      </c>
      <c r="B1" s="1149"/>
      <c r="C1" s="1149"/>
      <c r="D1" s="1149"/>
      <c r="E1" s="1149"/>
      <c r="F1" s="1149"/>
      <c r="G1" s="1149"/>
      <c r="H1" s="1149"/>
      <c r="I1" s="114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9" t="s">
        <v>480</v>
      </c>
      <c r="B1" s="1149"/>
      <c r="C1" s="1149"/>
      <c r="D1" s="1149"/>
      <c r="E1" s="1149"/>
      <c r="F1" s="1149"/>
      <c r="G1" s="1149"/>
      <c r="H1" s="1149"/>
      <c r="I1" s="114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9" t="s">
        <v>482</v>
      </c>
      <c r="B1" s="1149"/>
      <c r="C1" s="1149"/>
      <c r="D1" s="1149"/>
      <c r="E1" s="1149"/>
      <c r="F1" s="1149"/>
      <c r="G1" s="1149"/>
      <c r="H1" s="1149"/>
      <c r="I1" s="114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2024-10-18T10:48:15Z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