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3174365-A604-4EEA-8483-EDBB9A2BC1F6}" xr6:coauthVersionLast="45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22" l="1"/>
  <c r="J14" i="22" l="1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K11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K11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4" i="20"/>
  <c r="B9" i="22" s="1"/>
  <c r="E4" i="20"/>
  <c r="B11" i="22" s="1"/>
  <c r="D5" i="20"/>
  <c r="L9" i="22" s="1"/>
  <c r="E5" i="20"/>
  <c r="L11" i="21" s="1"/>
  <c r="C5" i="20"/>
  <c r="L7" i="21" s="1"/>
  <c r="C4" i="20"/>
  <c r="B7" i="21" l="1"/>
  <c r="B7" i="22"/>
  <c r="B11" i="21"/>
  <c r="L11" i="22"/>
  <c r="B9" i="21"/>
  <c r="L9" i="21"/>
  <c r="L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<sst xmlns="http://schemas.openxmlformats.org/spreadsheetml/2006/main" count="151" uniqueCount="110">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</sst>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4" t="s">
        <v>91</v>
      </c>
      <c r="B16" s="34"/>
      <c r="C16" s="34"/>
      <c r="D16" s="34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92</v>
      </c>
      <c r="B19" s="33" t="s">
        <v>105</v>
      </c>
      <c r="C19" s="33"/>
      <c r="D19" s="33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93</v>
      </c>
      <c r="B20" s="33" t="s">
        <v>103</v>
      </c>
      <c r="C20" s="33"/>
      <c r="D20" s="33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94</v>
      </c>
      <c r="B21" s="28" t="s">
        <v>109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95</v>
      </c>
      <c r="B23" s="33" t="s">
        <v>104</v>
      </c>
      <c r="C23" s="33"/>
      <c r="D23" s="3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96</v>
      </c>
      <c r="B26" s="33" t="s">
        <v>104</v>
      </c>
      <c r="C26" s="33"/>
      <c r="D26" s="3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97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98</v>
      </c>
      <c r="B30" s="35" t="s">
        <v>99</v>
      </c>
      <c r="C30" s="33"/>
      <c r="D30" s="33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100</v>
      </c>
      <c r="B31" s="33" t="s">
        <v>101</v>
      </c>
      <c r="C31" s="33"/>
      <c r="D31" s="33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102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F14"/>
  <sheetViews>
    <sheetView workbookViewId="0">
      <selection activeCell="E8" sqref="E8"/>
    </sheetView>
  </sheetViews>
  <sheetFormatPr defaultColWidth="9.140625" defaultRowHeight="15" x14ac:dyDescent="0.25"/>
  <cols>
    <col min="2" max="2" width="14" bestFit="1" customWidth="1"/>
    <col min="3" max="3" width="30.140625" bestFit="1" customWidth="1"/>
    <col min="4" max="4" width="28" bestFit="1" customWidth="1"/>
    <col min="5" max="5" width="26" bestFit="1" customWidth="1"/>
    <col min="6" max="6" width="28" bestFit="1" customWidth="1"/>
    <col min="13" max="13" width="10.5703125" bestFit="1" customWidth="1"/>
    <col min="14" max="14" width="12" bestFit="1" customWidth="1"/>
  </cols>
  <sheetData>
    <row r="4" spans="2:6" x14ac:dyDescent="0.25">
      <c r="B4" t="s">
        <v>61</v>
      </c>
      <c r="C4" t="str">
        <f xml:space="preserve"> _xlfn.TEXTJOIN("_",TRUE,"UC","CB",ROUND(C7,0),"Mt",C6)</f>
        <v>UC_CB_295_Mt_2021-2025</v>
      </c>
      <c r="D4" t="str">
        <f t="shared" ref="D4:E4" si="0" xml:space="preserve"> _xlfn.TEXTJOIN("_",TRUE,"UC","CB",ROUND(D7,0),"Mt",D6)</f>
        <v>UC_CB_200_Mt_2026-2030</v>
      </c>
      <c r="E4" t="str">
        <f t="shared" si="0"/>
        <v>UC_CB_151_Mt_2031-2050</v>
      </c>
      <c r="F4" t="str">
        <f t="shared" ref="F4" si="1" xml:space="preserve"> _xlfn.TEXTJOIN("_",TRUE,"UC","CB",ROUND(F7,0),"Mt",F6)</f>
        <v>UC_CB_0_Mt_2051-2100</v>
      </c>
    </row>
    <row r="5" spans="2:6" x14ac:dyDescent="0.25">
      <c r="B5" t="s">
        <v>68</v>
      </c>
      <c r="C5" t="str">
        <f xml:space="preserve"> _xlfn.TEXTJOIN(" ",TRUE,"Carbon budget",ROUND(C7,0),"Mt",C6)</f>
        <v>Carbon budget 295 Mt 2021-2025</v>
      </c>
      <c r="D5" t="str">
        <f t="shared" ref="D5:F5" si="2" xml:space="preserve"> _xlfn.TEXTJOIN(" ",TRUE,"Carbon budget",ROUND(D7,0),"Mt",D6)</f>
        <v>Carbon budget 200 Mt 2026-2030</v>
      </c>
      <c r="E5" t="str">
        <f t="shared" si="2"/>
        <v>Carbon budget 151 Mt 2031-2050</v>
      </c>
      <c r="F5" t="str">
        <f t="shared" si="2"/>
        <v>Carbon budget 0 Mt 2051-2100</v>
      </c>
    </row>
    <row r="6" spans="2:6" x14ac:dyDescent="0.25">
      <c r="B6" t="s">
        <v>74</v>
      </c>
      <c r="C6" t="s">
        <v>106</v>
      </c>
      <c r="D6" t="s">
        <v>107</v>
      </c>
      <c r="E6" t="s">
        <v>108</v>
      </c>
      <c r="F6" t="s">
        <v>84</v>
      </c>
    </row>
    <row r="7" spans="2:6" x14ac:dyDescent="0.25">
      <c r="B7" t="s">
        <v>69</v>
      </c>
      <c r="C7">
        <v>295</v>
      </c>
      <c r="D7">
        <v>200</v>
      </c>
      <c r="E7">
        <v>151</v>
      </c>
      <c r="F7">
        <v>0</v>
      </c>
    </row>
    <row r="8" spans="2:6" x14ac:dyDescent="0.25">
      <c r="B8" t="s">
        <v>82</v>
      </c>
      <c r="C8" t="s">
        <v>83</v>
      </c>
      <c r="D8" t="s">
        <v>83</v>
      </c>
      <c r="E8" t="s">
        <v>83</v>
      </c>
      <c r="F8" t="s">
        <v>83</v>
      </c>
    </row>
    <row r="9" spans="2:6" x14ac:dyDescent="0.25">
      <c r="B9" t="s">
        <v>62</v>
      </c>
      <c r="C9" t="s">
        <v>80</v>
      </c>
      <c r="D9" t="s">
        <v>80</v>
      </c>
      <c r="E9" t="s">
        <v>80</v>
      </c>
      <c r="F9" t="s">
        <v>80</v>
      </c>
    </row>
    <row r="10" spans="2:6" x14ac:dyDescent="0.25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25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25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25">
      <c r="B13" t="s">
        <v>81</v>
      </c>
      <c r="C13">
        <v>-1</v>
      </c>
      <c r="D13">
        <v>-1</v>
      </c>
      <c r="E13">
        <v>-1</v>
      </c>
      <c r="F13">
        <v>-1</v>
      </c>
    </row>
    <row r="14" spans="2:6" x14ac:dyDescent="0.25">
      <c r="B14" t="s">
        <v>76</v>
      </c>
      <c r="C14">
        <v>1</v>
      </c>
      <c r="D14">
        <v>1</v>
      </c>
      <c r="E14">
        <v>1</v>
      </c>
      <c r="F14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E14" sqref="E14"/>
    </sheetView>
  </sheetViews>
  <sheetFormatPr defaultColWidth="9.140625" defaultRowHeight="15" x14ac:dyDescent="0.25"/>
  <cols>
    <col min="2" max="2" width="28.5703125" bestFit="1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4.28515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75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73</v>
      </c>
      <c r="E5" s="11" t="s">
        <v>82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81</v>
      </c>
      <c r="K5" s="8" t="s">
        <v>65</v>
      </c>
      <c r="L5" s="10" t="s">
        <v>63</v>
      </c>
    </row>
    <row r="6" spans="1:12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25">
      <c r="B7" t="str">
        <f>VLOOKUP($B$5, config!$B$4:$F$14,2,FALSE) &amp; "_Single"</f>
        <v>UC_CB_295_Mt_2021-2025_Single</v>
      </c>
      <c r="C7" t="str">
        <f>VLOOKUP(C$5, config!$B$4:$F$14,2,FALSE)</f>
        <v>*CO2*,-*CO2S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>
        <f>VLOOKUP("Value", config!$B$4:$F$14,2,FALSE)*1000</f>
        <v>295000</v>
      </c>
      <c r="L7" t="str">
        <f>VLOOKUP($L$5, config!$B$4:$F$14,2,FALSE) &amp; " - Single"</f>
        <v>Carbon budget 295 Mt 2021-2025 - Single</v>
      </c>
    </row>
    <row r="8" spans="1:12" x14ac:dyDescent="0.25">
      <c r="C8" t="str">
        <f>VLOOKUP(C$5, config!$B$4:$F$14,2,FALSE)</f>
        <v>*CO2*,-*CO2S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</row>
    <row r="9" spans="1:12" x14ac:dyDescent="0.25">
      <c r="B9" t="str">
        <f>VLOOKUP($B$5, config!$B$4:$F$14,3,FALSE) &amp; "_Single"</f>
        <v>UC_CB_200_Mt_2026-2030_Single</v>
      </c>
      <c r="C9" t="str">
        <f>VLOOKUP(C$5, config!$B$4:$F$14,3,FALSE)</f>
        <v>*CO2*,-*CO2S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>
        <f>VLOOKUP("Value", config!$B$4:$F$14,3,FALSE)*1000</f>
        <v>200000</v>
      </c>
      <c r="L9" t="str">
        <f>VLOOKUP($L$5, config!$B$4:$F$14,3,FALSE) &amp; " - Single"</f>
        <v>Carbon budget 200 Mt 2026-2030 - Single</v>
      </c>
    </row>
    <row r="10" spans="1:12" x14ac:dyDescent="0.25">
      <c r="C10" t="str">
        <f>VLOOKUP(C$5, config!$B$4:$F$14,3,FALSE)</f>
        <v>*CO2*,-*CO2S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</row>
    <row r="11" spans="1:12" x14ac:dyDescent="0.25">
      <c r="B11" t="str">
        <f>VLOOKUP($B$5, config!$B$4:$F$14,4,FALSE) &amp; "_Single"</f>
        <v>UC_CB_151_Mt_2031-2050_Single</v>
      </c>
      <c r="C11" t="str">
        <f>VLOOKUP(C$5, config!$B$4:$F$14,4,FALSE)</f>
        <v>*CO2*,-*CO2S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>
        <f>VLOOKUP("Value", config!$B$4:$F$14,4,FALSE)*1000</f>
        <v>151000</v>
      </c>
      <c r="L11" t="str">
        <f>VLOOKUP($L$5, config!$B$4:$F$14,4,FALSE) &amp; " - Single"</f>
        <v>Carbon budget 151 Mt 2031-2050 - Single</v>
      </c>
    </row>
    <row r="12" spans="1:12" x14ac:dyDescent="0.25">
      <c r="C12" t="str">
        <f>VLOOKUP(C$5, config!$B$4:$F$14,4,FALSE)</f>
        <v>*CO2*,-*CO2S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25">
      <c r="B13" t="str">
        <f>VLOOKUP($B$5, config!$B$4:$F$14,5,FALSE) &amp; "_Single"</f>
        <v>UC_CB_0_Mt_2051-2100_Single</v>
      </c>
      <c r="C13" t="str">
        <f>VLOOKUP(C$5, config!$B$4:$F$14,5,FALSE)</f>
        <v>*CO2*,-*CO2S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 x14ac:dyDescent="0.25">
      <c r="C14" t="str">
        <f>VLOOKUP(C$5, config!$B$4:$F$14,5,FALSE)</f>
        <v>*CO2*,-*CO2S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tabSelected="1" workbookViewId="0">
      <selection activeCell="K7" sqref="K7"/>
    </sheetView>
  </sheetViews>
  <sheetFormatPr defaultColWidth="9.140625" defaultRowHeight="15" x14ac:dyDescent="0.25"/>
  <cols>
    <col min="2" max="2" width="28.28515625" customWidth="1"/>
    <col min="3" max="3" width="12" bestFit="1" customWidth="1"/>
    <col min="4" max="4" width="8.42578125" bestFit="1" customWidth="1"/>
    <col min="5" max="5" width="14.42578125" bestFit="1" customWidth="1"/>
    <col min="6" max="6" width="9.28515625" bestFit="1" customWidth="1"/>
    <col min="7" max="7" width="13.42578125" bestFit="1" customWidth="1"/>
    <col min="8" max="8" width="8.42578125" bestFit="1" customWidth="1"/>
    <col min="9" max="9" width="12.5703125" bestFit="1" customWidth="1"/>
    <col min="10" max="10" width="12.140625" bestFit="1" customWidth="1"/>
    <col min="11" max="11" width="8.42578125" bestFit="1" customWidth="1"/>
    <col min="12" max="12" width="33.8554687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75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73</v>
      </c>
      <c r="E5" s="11" t="s">
        <v>82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81</v>
      </c>
      <c r="K5" s="8" t="s">
        <v>67</v>
      </c>
      <c r="L5" s="10" t="s">
        <v>63</v>
      </c>
    </row>
    <row r="6" spans="1:12" x14ac:dyDescent="0.2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25">
      <c r="B7" t="str">
        <f>VLOOKUP(B$5, config!$B$4:$F$14,2,FALSE) &amp; "_Multi"</f>
        <v>UC_CB_295_Mt_2021-2025_Multi</v>
      </c>
      <c r="C7" t="str">
        <f>VLOOKUP(C$5, config!$B$4:$F$14,2,FALSE)</f>
        <v>*CO2*,-*CO2S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>
        <f>VLOOKUP("Value", config!$B$4:$F$14,2,FALSE)*1000</f>
        <v>295000</v>
      </c>
      <c r="L7" t="str">
        <f>VLOOKUP(L$5, config!$B$4:$F$14,2,FALSE) &amp; " - Multi"</f>
        <v>Carbon budget 295 Mt 2021-2025 - Multi</v>
      </c>
    </row>
    <row r="8" spans="1:12" x14ac:dyDescent="0.25">
      <c r="C8" t="str">
        <f>VLOOKUP(C$5, config!$B$4:$F$14,2,FALSE)</f>
        <v>*CO2*,-*CO2S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</row>
    <row r="9" spans="1:12" x14ac:dyDescent="0.25">
      <c r="B9" t="str">
        <f>VLOOKUP(B$5, config!$B$4:$F$14,3,FALSE) &amp; "_Multi"</f>
        <v>UC_CB_200_Mt_2026-2030_Multi</v>
      </c>
      <c r="C9" t="str">
        <f>VLOOKUP(C$5, config!$B$4:$F$14,3,FALSE)</f>
        <v>*CO2*,-*CO2S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>
        <f>VLOOKUP("Value", config!$B$4:$F$14,3,FALSE)*1000</f>
        <v>200000</v>
      </c>
      <c r="L9" t="str">
        <f>VLOOKUP(L$5, config!$B$4:$F$14,3,FALSE) &amp; " - Multi"</f>
        <v>Carbon budget 200 Mt 2026-2030 - Multi</v>
      </c>
    </row>
    <row r="10" spans="1:12" x14ac:dyDescent="0.25">
      <c r="C10" t="str">
        <f>VLOOKUP(C$5, config!$B$4:$F$14,3,FALSE)</f>
        <v>*CO2*,-*CO2S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</row>
    <row r="11" spans="1:12" x14ac:dyDescent="0.25">
      <c r="B11" t="str">
        <f>VLOOKUP(B$5, config!$B$4:$F$14,4,FALSE) &amp; "_Multi"</f>
        <v>UC_CB_151_Mt_2031-2050_Multi</v>
      </c>
      <c r="C11" t="str">
        <f>VLOOKUP(C$5, config!$B$4:$F$14,4,FALSE)</f>
        <v>*CO2*,-*CO2S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>
        <f>VLOOKUP("Value", config!$B$4:$F$14,4,FALSE)*1000</f>
        <v>151000</v>
      </c>
      <c r="L11" t="str">
        <f>VLOOKUP(L$5, config!$B$4:$F$14,4,FALSE) &amp; " - Multi"</f>
        <v>Carbon budget 151 Mt 2031-2050 - Multi</v>
      </c>
    </row>
    <row r="12" spans="1:12" x14ac:dyDescent="0.25">
      <c r="C12" t="str">
        <f>VLOOKUP(C$5, config!$B$4:$F$14,4,FALSE)</f>
        <v>*CO2*,-*CO2S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25">
      <c r="B13" t="str">
        <f>VLOOKUP(B$5, config!$B$4:$F$14,5,FALSE) &amp; "_Multi"</f>
        <v>UC_CB_0_Mt_2051-2100_Multi</v>
      </c>
      <c r="C13" t="str">
        <f>VLOOKUP(C$5, config!$B$4:$F$14,5,FALSE)</f>
        <v>*CO2*,-*CO2S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 x14ac:dyDescent="0.25">
      <c r="C14" t="str">
        <f>VLOOKUP(C$5, config!$B$4:$F$14,5,FALSE)</f>
        <v>*CO2*,-*CO2S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85</v>
      </c>
    </row>
    <row r="3" spans="2:8" ht="15.75" thickBot="1" x14ac:dyDescent="0.3">
      <c r="B3" s="15" t="s">
        <v>86</v>
      </c>
      <c r="C3" s="15" t="s">
        <v>0</v>
      </c>
      <c r="D3" s="15" t="s">
        <v>87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88</v>
      </c>
      <c r="D4" t="s">
        <v>89</v>
      </c>
      <c r="E4">
        <v>0</v>
      </c>
      <c r="F4" t="s">
        <v>90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2023-02-17T09:49:08Z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297542750835418</vt:r8>
  </property>
</Properties>
</file>