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9486E7C3-1C7C-41F6-96C3-CF57669D7D31}" xr6:coauthVersionLast="45" xr6:coauthVersionMax="47" xr10:uidLastSave="{00000000-0000-0000-0000-000000000000}"/>
  <bookViews>
    <workbookView xWindow="-60" yWindow="-163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Q33" i="26" l="1"/>
  <c r="Q34" i="26" s="1"/>
  <c r="P18" i="9"/>
  <c r="P19" i="9" l="1"/>
  <c r="P10" i="9"/>
  <c r="P15" i="9"/>
  <c r="D62" i="5" l="1"/>
  <c r="D61" i="5"/>
  <c r="D60"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<sst xmlns="http://schemas.openxmlformats.org/spreadsheetml/2006/main" count="4636" uniqueCount="1329">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</sst>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1133</v>
      </c>
      <c r="K1" s="315"/>
      <c r="L1" s="315"/>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F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537</v>
      </c>
      <c r="C2" s="52"/>
      <c r="D2" s="52"/>
      <c r="E2" s="52"/>
      <c r="F2" s="53"/>
      <c r="G2" s="53"/>
      <c r="H2" s="53"/>
      <c r="I2" s="53"/>
      <c r="J2" s="53" t="s">
        <v>1136</v>
      </c>
      <c r="K2" s="53"/>
      <c r="L2" s="53"/>
      <c r="M2" s="83" t="s">
        <v>1135</v>
      </c>
      <c r="N2" s="53"/>
      <c r="O2" s="52"/>
      <c r="P2" s="52"/>
      <c r="Q2" s="52"/>
      <c r="R2" s="52"/>
      <c r="S2" s="52"/>
      <c r="T2" s="52"/>
      <c r="U2" s="52"/>
      <c r="V2" s="52"/>
      <c r="W2" s="52"/>
      <c r="X2" s="52"/>
    </row>
    <row r="3" spans="2:33" ht="15">
      <c r="B3" s="189" t="s">
        <v>1132</v>
      </c>
      <c r="C3" s="52"/>
      <c r="D3" s="52"/>
      <c r="E3" s="52"/>
      <c r="F3" s="53"/>
      <c r="G3" s="53"/>
      <c r="H3" s="53"/>
      <c r="I3" s="53"/>
      <c r="J3" s="53"/>
      <c r="K3" s="53"/>
      <c r="L3" s="53"/>
      <c r="M3" s="83" t="s">
        <v>972</v>
      </c>
      <c r="N3" s="53"/>
      <c r="O3" s="52"/>
      <c r="P3" s="52"/>
      <c r="Q3" s="52"/>
      <c r="R3" s="52"/>
      <c r="S3" s="52"/>
      <c r="T3" s="52"/>
      <c r="U3" s="52"/>
      <c r="V3" s="52"/>
      <c r="W3" s="52"/>
      <c r="X3" s="52"/>
    </row>
    <row r="4" spans="2:33" ht="15">
      <c r="B4" s="52"/>
      <c r="C4" s="52"/>
      <c r="D4" s="52"/>
      <c r="E4" s="52"/>
      <c r="F4" s="52"/>
      <c r="G4" s="52"/>
      <c r="H4" s="54" t="s">
        <v>474</v>
      </c>
      <c r="I4" s="54"/>
      <c r="J4" s="52"/>
      <c r="K4" s="52"/>
      <c r="L4" s="52"/>
      <c r="M4" s="52"/>
      <c r="N4" s="52"/>
      <c r="O4" s="52"/>
      <c r="P4" s="52"/>
      <c r="Q4" s="52"/>
      <c r="R4" s="52"/>
      <c r="S4" s="52"/>
      <c r="T4" s="52"/>
      <c r="U4" s="52"/>
      <c r="V4" s="52"/>
      <c r="W4" s="52"/>
      <c r="X4" s="52"/>
      <c r="Z4" s="84" t="s">
        <v>486</v>
      </c>
      <c r="AA4" s="35"/>
      <c r="AB4" s="35"/>
      <c r="AC4" s="35"/>
      <c r="AD4" s="35"/>
      <c r="AE4" s="35"/>
      <c r="AF4" s="35"/>
    </row>
    <row r="5" spans="2:33" ht="15">
      <c r="B5" s="55" t="s">
        <v>0</v>
      </c>
      <c r="C5" s="55" t="s">
        <v>488</v>
      </c>
      <c r="D5" s="55" t="s">
        <v>475</v>
      </c>
      <c r="E5" s="55" t="s">
        <v>1001</v>
      </c>
      <c r="F5" s="55" t="s">
        <v>476</v>
      </c>
      <c r="G5" s="55" t="s">
        <v>538</v>
      </c>
      <c r="H5" s="55" t="s">
        <v>952</v>
      </c>
      <c r="I5" s="55" t="s">
        <v>539</v>
      </c>
      <c r="J5" s="55" t="s">
        <v>477</v>
      </c>
      <c r="K5" s="192" t="s">
        <v>1318</v>
      </c>
      <c r="L5" s="192" t="s">
        <v>1319</v>
      </c>
      <c r="M5" s="55" t="s">
        <v>1003</v>
      </c>
      <c r="N5" s="55" t="s">
        <v>540</v>
      </c>
      <c r="O5" s="55" t="s">
        <v>541</v>
      </c>
      <c r="P5" s="55" t="s">
        <v>542</v>
      </c>
      <c r="Q5" s="55" t="s">
        <v>543</v>
      </c>
      <c r="R5" s="55" t="s">
        <v>544</v>
      </c>
      <c r="S5" s="55" t="s">
        <v>545</v>
      </c>
      <c r="T5" s="55" t="s">
        <v>1328</v>
      </c>
      <c r="U5" s="55" t="s">
        <v>1327</v>
      </c>
      <c r="V5" s="55" t="s">
        <v>1300</v>
      </c>
      <c r="W5" s="55" t="s">
        <v>546</v>
      </c>
      <c r="X5" s="52"/>
      <c r="Z5" s="85" t="s">
        <v>487</v>
      </c>
      <c r="AA5" s="85" t="s">
        <v>0</v>
      </c>
      <c r="AB5" s="85" t="s">
        <v>488</v>
      </c>
      <c r="AC5" s="85" t="s">
        <v>489</v>
      </c>
      <c r="AD5" s="85" t="s">
        <v>490</v>
      </c>
      <c r="AE5" s="85" t="s">
        <v>491</v>
      </c>
      <c r="AF5" s="85" t="s">
        <v>492</v>
      </c>
      <c r="AG5" s="85" t="s">
        <v>493</v>
      </c>
    </row>
    <row r="6" spans="2:33"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c r="U6" s="56" t="s">
        <v>1299</v>
      </c>
      <c r="V6" s="56" t="s">
        <v>1299</v>
      </c>
      <c r="W6" s="56" t="s">
        <v>556</v>
      </c>
      <c r="X6" s="52"/>
      <c r="Z6" s="86" t="s">
        <v>976</v>
      </c>
      <c r="AA6" s="86" t="s">
        <v>495</v>
      </c>
      <c r="AB6" s="86" t="s">
        <v>496</v>
      </c>
      <c r="AC6" s="86" t="s">
        <v>497</v>
      </c>
      <c r="AD6" s="86" t="s">
        <v>498</v>
      </c>
      <c r="AE6" s="86" t="s">
        <v>977</v>
      </c>
      <c r="AF6" s="86" t="s">
        <v>978</v>
      </c>
      <c r="AG6" s="86" t="s">
        <v>501</v>
      </c>
    </row>
    <row r="7" spans="2:33"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c r="W7" s="77" t="s">
        <v>559</v>
      </c>
      <c r="X7" s="52"/>
      <c r="Z7" s="57" t="s">
        <v>483</v>
      </c>
      <c r="AA7" s="57"/>
      <c r="AB7" s="57"/>
      <c r="AC7" s="57"/>
      <c r="AD7" s="57"/>
      <c r="AE7" s="57"/>
      <c r="AF7" s="57"/>
      <c r="AG7" s="57"/>
    </row>
    <row r="8" spans="2:33" ht="15">
      <c r="B8" s="95" t="s">
        <v>1015</v>
      </c>
      <c r="C8" s="95" t="s">
        <v>1040</v>
      </c>
      <c r="D8" s="95" t="s">
        <v>560</v>
      </c>
      <c r="E8" s="95"/>
      <c r="F8" s="95" t="s">
        <v>534</v>
      </c>
      <c r="G8" s="95" t="s">
        <v>1058</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979</v>
      </c>
      <c r="AA8" s="65" t="str">
        <f t="shared" ref="AA8:AB10" si="1">B8</f>
        <v>DH_ELC_BLR_N1</v>
      </c>
      <c r="AB8" s="65" t="str">
        <f t="shared" si="1"/>
        <v>Electric Boiler for District Heating</v>
      </c>
      <c r="AC8" s="65" t="s">
        <v>484</v>
      </c>
      <c r="AD8" s="65" t="s">
        <v>561</v>
      </c>
      <c r="AE8" s="65" t="s">
        <v>1156</v>
      </c>
      <c r="AF8" s="65"/>
      <c r="AG8" s="65"/>
    </row>
    <row r="9" spans="2:33" ht="15">
      <c r="B9" s="88" t="s">
        <v>1016</v>
      </c>
      <c r="C9" s="88" t="s">
        <v>1039</v>
      </c>
      <c r="D9" s="88" t="s">
        <v>1006</v>
      </c>
      <c r="E9" s="88"/>
      <c r="F9" s="88" t="s">
        <v>534</v>
      </c>
      <c r="G9" s="88" t="s">
        <v>1058</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979</v>
      </c>
      <c r="AA9" s="58" t="str">
        <f t="shared" si="1"/>
        <v>DH_GAS_BLR_N1</v>
      </c>
      <c r="AB9" s="58" t="str">
        <f t="shared" si="1"/>
        <v>Gas Boiler for District Heating</v>
      </c>
      <c r="AC9" s="58" t="s">
        <v>484</v>
      </c>
      <c r="AD9" s="58" t="s">
        <v>561</v>
      </c>
      <c r="AE9" s="58" t="s">
        <v>1156</v>
      </c>
      <c r="AF9" s="58"/>
      <c r="AG9" s="58"/>
    </row>
    <row r="10" spans="2:33" ht="15">
      <c r="B10" s="59" t="s">
        <v>1014</v>
      </c>
      <c r="C10" s="59" t="s">
        <v>1008</v>
      </c>
      <c r="D10" s="59" t="s">
        <v>560</v>
      </c>
      <c r="E10" s="59"/>
      <c r="F10" s="59" t="s">
        <v>534</v>
      </c>
      <c r="G10" s="59" t="s">
        <v>1058</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979</v>
      </c>
      <c r="AA10" s="65" t="str">
        <f t="shared" si="1"/>
        <v>DH_ELC_GEO1200_N1</v>
      </c>
      <c r="AB10" s="65" t="str">
        <f t="shared" si="1"/>
        <v>Geothermal and electric HP 1200m</v>
      </c>
      <c r="AC10" s="65" t="s">
        <v>484</v>
      </c>
      <c r="AD10" s="65" t="s">
        <v>561</v>
      </c>
      <c r="AE10" s="65" t="s">
        <v>1156</v>
      </c>
      <c r="AF10" s="65"/>
      <c r="AG10" s="65"/>
    </row>
    <row r="11" spans="2:33" ht="15">
      <c r="B11" s="91"/>
      <c r="C11" s="91"/>
      <c r="D11" s="91"/>
      <c r="E11" s="91" t="s">
        <v>1002</v>
      </c>
      <c r="F11" s="91"/>
      <c r="G11" s="91"/>
      <c r="H11" s="91"/>
      <c r="I11" s="91"/>
      <c r="J11" s="91"/>
      <c r="K11" s="91"/>
      <c r="L11" s="91"/>
      <c r="M11" s="92">
        <f>1-(1/J10)</f>
        <v>0.81754981072617361</v>
      </c>
      <c r="N11" s="91"/>
      <c r="O11" s="91"/>
      <c r="P11" s="305"/>
      <c r="Q11" s="305"/>
      <c r="R11" s="305"/>
      <c r="S11" s="92"/>
      <c r="T11" s="92"/>
      <c r="U11" s="91"/>
      <c r="V11" s="293"/>
      <c r="W11" s="91"/>
      <c r="X11" s="52"/>
      <c r="Z11" s="58" t="s">
        <v>979</v>
      </c>
      <c r="AA11" s="58" t="str">
        <f>B12</f>
        <v>DH_SOL_N1</v>
      </c>
      <c r="AB11" s="58" t="str">
        <f>C12</f>
        <v>Solar District Heating</v>
      </c>
      <c r="AC11" s="58" t="s">
        <v>484</v>
      </c>
      <c r="AD11" s="58" t="s">
        <v>561</v>
      </c>
      <c r="AE11" s="58" t="s">
        <v>1156</v>
      </c>
      <c r="AF11" s="58"/>
      <c r="AG11" s="58"/>
    </row>
    <row r="12" spans="2:33" ht="15">
      <c r="B12" s="66" t="s">
        <v>1012</v>
      </c>
      <c r="C12" s="66" t="s">
        <v>1004</v>
      </c>
      <c r="D12" s="66" t="s">
        <v>1005</v>
      </c>
      <c r="E12" s="66"/>
      <c r="F12" s="66" t="s">
        <v>534</v>
      </c>
      <c r="G12" s="88" t="s">
        <v>1058</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979</v>
      </c>
      <c r="AA12" s="65" t="str">
        <f>B13</f>
        <v>DH_AHP_GEO1200_N1</v>
      </c>
      <c r="AB12" s="65" t="str">
        <f>C13</f>
        <v>Geothermal and absorption HP 1200m</v>
      </c>
      <c r="AC12" s="65" t="s">
        <v>484</v>
      </c>
      <c r="AD12" s="65" t="s">
        <v>561</v>
      </c>
      <c r="AE12" s="65" t="s">
        <v>1156</v>
      </c>
      <c r="AF12" s="65"/>
      <c r="AG12" s="65"/>
    </row>
    <row r="13" spans="2:33" ht="15">
      <c r="B13" s="59" t="s">
        <v>1013</v>
      </c>
      <c r="C13" s="59" t="s">
        <v>1009</v>
      </c>
      <c r="D13" s="59" t="s">
        <v>1010</v>
      </c>
      <c r="E13" s="59"/>
      <c r="F13" s="59" t="s">
        <v>534</v>
      </c>
      <c r="G13" s="59" t="s">
        <v>1058</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979</v>
      </c>
      <c r="AA13" s="58" t="str">
        <f>B15</f>
        <v>DH_ASHP_ELC_N1</v>
      </c>
      <c r="AB13" s="58" t="str">
        <f>C15</f>
        <v>Air Source Heat Pump</v>
      </c>
      <c r="AC13" s="58" t="s">
        <v>484</v>
      </c>
      <c r="AD13" s="58" t="s">
        <v>561</v>
      </c>
      <c r="AE13" s="58" t="s">
        <v>1156</v>
      </c>
      <c r="AF13" s="58"/>
      <c r="AG13" s="58"/>
    </row>
    <row r="14" spans="2:33" ht="15">
      <c r="B14" s="91"/>
      <c r="C14" s="91"/>
      <c r="D14" s="91"/>
      <c r="E14" s="91" t="s">
        <v>1002</v>
      </c>
      <c r="F14" s="91"/>
      <c r="G14" s="91"/>
      <c r="H14" s="91"/>
      <c r="I14" s="91"/>
      <c r="J14" s="91"/>
      <c r="K14" s="91"/>
      <c r="L14" s="91"/>
      <c r="M14" s="92">
        <f>1-1/(J13)</f>
        <v>0.39443999021415022</v>
      </c>
      <c r="N14" s="91"/>
      <c r="O14" s="91"/>
      <c r="P14" s="305"/>
      <c r="Q14" s="305"/>
      <c r="R14" s="305"/>
      <c r="S14" s="92"/>
      <c r="T14" s="92"/>
      <c r="U14" s="91"/>
      <c r="V14" s="293"/>
      <c r="W14" s="91"/>
      <c r="X14" s="66"/>
      <c r="Z14" s="65" t="s">
        <v>979</v>
      </c>
      <c r="AA14" s="65" t="str">
        <f>B17</f>
        <v>DH_BIO_BLR_N1</v>
      </c>
      <c r="AB14" s="65" t="str">
        <f>C17</f>
        <v>Biomass Boiler for District Heating</v>
      </c>
      <c r="AC14" s="65" t="s">
        <v>484</v>
      </c>
      <c r="AD14" s="65" t="s">
        <v>561</v>
      </c>
      <c r="AE14" s="65" t="s">
        <v>1156</v>
      </c>
      <c r="AF14" s="65"/>
      <c r="AG14" s="65"/>
    </row>
    <row r="15" spans="2:33" ht="15">
      <c r="B15" s="99" t="s">
        <v>1011</v>
      </c>
      <c r="C15" s="99" t="s">
        <v>1007</v>
      </c>
      <c r="D15" s="99" t="s">
        <v>560</v>
      </c>
      <c r="E15" s="99"/>
      <c r="F15" s="99" t="s">
        <v>534</v>
      </c>
      <c r="G15" s="99" t="s">
        <v>1058</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979</v>
      </c>
      <c r="AA15" s="58" t="str">
        <f>B19</f>
        <v>DH_PWR_SURPLUS_HEAT</v>
      </c>
      <c r="AB15" s="58" t="s">
        <v>1030</v>
      </c>
      <c r="AC15" s="58" t="s">
        <v>484</v>
      </c>
      <c r="AD15" s="58" t="s">
        <v>561</v>
      </c>
      <c r="AE15" s="58" t="s">
        <v>1156</v>
      </c>
      <c r="AF15" s="58"/>
      <c r="AG15" s="58"/>
    </row>
    <row r="16" spans="2:33" ht="15">
      <c r="B16" s="100"/>
      <c r="C16" s="100"/>
      <c r="D16" s="100"/>
      <c r="E16" s="100" t="s">
        <v>1002</v>
      </c>
      <c r="F16" s="100"/>
      <c r="G16" s="100"/>
      <c r="H16" s="100"/>
      <c r="I16" s="100"/>
      <c r="J16" s="100"/>
      <c r="K16" s="100"/>
      <c r="L16" s="100"/>
      <c r="M16" s="101">
        <f>1-1/(J15)</f>
        <v>0.7142857142857143</v>
      </c>
      <c r="N16" s="100"/>
      <c r="O16" s="100"/>
      <c r="P16" s="307"/>
      <c r="Q16" s="307"/>
      <c r="R16" s="307"/>
      <c r="S16" s="101"/>
      <c r="T16" s="101"/>
      <c r="U16" s="100"/>
      <c r="V16" s="296"/>
      <c r="W16" s="100"/>
      <c r="X16" s="66"/>
      <c r="Z16" s="65" t="s">
        <v>979</v>
      </c>
      <c r="AA16" s="65" t="str">
        <f>B18</f>
        <v>DH_IND_SURPLUS_HEAT</v>
      </c>
      <c r="AB16" s="65" t="s">
        <v>1029</v>
      </c>
      <c r="AC16" s="65" t="s">
        <v>484</v>
      </c>
      <c r="AD16" s="65" t="s">
        <v>561</v>
      </c>
      <c r="AE16" s="65" t="s">
        <v>1156</v>
      </c>
      <c r="AF16" s="65"/>
      <c r="AG16" s="65"/>
    </row>
    <row r="17" spans="2:33" ht="15">
      <c r="B17" s="117" t="s">
        <v>1038</v>
      </c>
      <c r="C17" s="117" t="s">
        <v>1041</v>
      </c>
      <c r="D17" s="117" t="s">
        <v>1042</v>
      </c>
      <c r="E17" s="117"/>
      <c r="F17" s="117" t="s">
        <v>534</v>
      </c>
      <c r="G17" s="117" t="s">
        <v>1058</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1325</v>
      </c>
      <c r="AA17" s="58" t="s">
        <v>1134</v>
      </c>
      <c r="AB17" s="58" t="s">
        <v>1323</v>
      </c>
      <c r="AC17" s="58" t="s">
        <v>484</v>
      </c>
      <c r="AD17" s="58" t="s">
        <v>561</v>
      </c>
      <c r="AE17" s="58" t="s">
        <v>1156</v>
      </c>
      <c r="AF17" s="58" t="s">
        <v>1324</v>
      </c>
      <c r="AG17" s="58"/>
    </row>
    <row r="18" spans="2:33" ht="15">
      <c r="B18" s="100" t="s">
        <v>1031</v>
      </c>
      <c r="C18" s="124" t="str">
        <f>AB16</f>
        <v>Industrial Surplus Heat</v>
      </c>
      <c r="D18" s="124"/>
      <c r="E18" s="124"/>
      <c r="F18" s="100" t="s">
        <v>534</v>
      </c>
      <c r="G18" s="100" t="s">
        <v>1058</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979</v>
      </c>
      <c r="AA18" s="65" t="s">
        <v>1292</v>
      </c>
      <c r="AB18" s="65" t="s">
        <v>1155</v>
      </c>
      <c r="AC18" s="65" t="s">
        <v>484</v>
      </c>
      <c r="AD18" s="65" t="s">
        <v>561</v>
      </c>
      <c r="AE18" s="65" t="s">
        <v>1156</v>
      </c>
      <c r="AF18" s="65"/>
      <c r="AG18" s="65"/>
    </row>
    <row r="19" spans="2:33" ht="15">
      <c r="B19" s="117" t="s">
        <v>1032</v>
      </c>
      <c r="C19" s="118" t="str">
        <f>AB15</f>
        <v>Power Generation Surplus Heat</v>
      </c>
      <c r="D19" s="117"/>
      <c r="E19" s="117"/>
      <c r="F19" s="117" t="s">
        <v>534</v>
      </c>
      <c r="G19" s="117" t="s">
        <v>1058</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1325</v>
      </c>
      <c r="AA19" s="58" t="s">
        <v>1321</v>
      </c>
      <c r="AB19" s="58" t="s">
        <v>1322</v>
      </c>
      <c r="AC19" s="58" t="s">
        <v>484</v>
      </c>
      <c r="AD19" s="58" t="s">
        <v>561</v>
      </c>
      <c r="AE19" s="58" t="s">
        <v>1320</v>
      </c>
      <c r="AF19" s="58" t="s">
        <v>1324</v>
      </c>
      <c r="AG19" s="58"/>
    </row>
    <row r="20" spans="2:33" ht="15">
      <c r="B20" s="124" t="s">
        <v>1292</v>
      </c>
      <c r="C20" s="124" t="s">
        <v>1154</v>
      </c>
      <c r="D20" s="124" t="s">
        <v>1157</v>
      </c>
      <c r="E20" s="124"/>
      <c r="F20" s="124" t="s">
        <v>534</v>
      </c>
      <c r="G20" s="124" t="s">
        <v>1058</v>
      </c>
      <c r="H20" s="124">
        <v>2022</v>
      </c>
      <c r="I20" s="124">
        <v>1</v>
      </c>
      <c r="J20" s="124">
        <f>HP_data!C8/100</f>
        <v>4.5999999999999996</v>
      </c>
      <c r="K20" s="124"/>
      <c r="L20" s="124"/>
      <c r="M20" s="124"/>
      <c r="N20" s="124">
        <f>HP_data!C12</f>
        <v>25</v>
      </c>
      <c r="O20" s="310">
        <f>1-'40 Comp. hp, airsource 10 MW'!C9</f>
        <v>0.99</v>
      </c>
      <c r="P20" s="304">
        <f>70</f>
        <v>70</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1002</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7" t="s">
        <v>655</v>
      </c>
      <c r="B3" s="317"/>
      <c r="C3" s="318" t="s">
        <v>1252</v>
      </c>
      <c r="D3" s="319"/>
      <c r="E3" s="319"/>
      <c r="F3" s="319"/>
      <c r="G3" s="319"/>
      <c r="H3" s="319"/>
      <c r="I3" s="319"/>
      <c r="J3" s="319"/>
      <c r="K3" s="319"/>
      <c r="L3" s="319"/>
      <c r="M3" s="319"/>
    </row>
    <row r="4" spans="1:13" ht="12.75" customHeight="1">
      <c r="A4" s="320" t="s">
        <v>653</v>
      </c>
      <c r="B4" s="320"/>
      <c r="C4" s="273">
        <v>2020</v>
      </c>
      <c r="D4" s="273">
        <v>2025</v>
      </c>
      <c r="E4" s="273">
        <v>2030</v>
      </c>
      <c r="F4" s="273">
        <v>2040</v>
      </c>
      <c r="G4" s="273">
        <v>2050</v>
      </c>
      <c r="H4" s="273">
        <v>2025</v>
      </c>
      <c r="I4" s="273">
        <v>2025</v>
      </c>
      <c r="J4" s="273">
        <v>2050</v>
      </c>
      <c r="K4" s="273">
        <v>2050</v>
      </c>
      <c r="L4" s="273" t="s">
        <v>652</v>
      </c>
      <c r="M4" s="273" t="s">
        <v>652</v>
      </c>
    </row>
    <row r="5" spans="1:13">
      <c r="A5" s="321" t="s">
        <v>651</v>
      </c>
      <c r="B5" s="321"/>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6" t="s">
        <v>1230</v>
      </c>
      <c r="C55" s="316"/>
      <c r="D55" s="316"/>
      <c r="E55" s="316"/>
      <c r="F55" s="316"/>
      <c r="G55" s="316"/>
      <c r="H55" s="316"/>
      <c r="I55" s="316"/>
      <c r="J55" s="316"/>
      <c r="K55" s="316"/>
      <c r="L55" s="316"/>
      <c r="M55" s="316"/>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1314</v>
      </c>
      <c r="F11" s="81" t="s">
        <v>969</v>
      </c>
      <c r="G11" s="81" t="s">
        <v>1036</v>
      </c>
      <c r="H11" s="81" t="s">
        <v>1037</v>
      </c>
      <c r="I11" s="300" t="s">
        <v>1315</v>
      </c>
      <c r="J11" s="299" t="s">
        <v>1313</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2" t="s">
        <v>993</v>
      </c>
      <c r="C15" s="104" t="s">
        <v>965</v>
      </c>
      <c r="D15" s="104" t="s">
        <v>957</v>
      </c>
      <c r="E15" s="80">
        <v>377</v>
      </c>
      <c r="F15" s="80">
        <f>3865.58537571818+4239.85897298597</f>
        <v>8105.4443487041499</v>
      </c>
      <c r="G15" s="107" t="s">
        <v>434</v>
      </c>
      <c r="I15" s="301">
        <v>1270</v>
      </c>
      <c r="J15">
        <v>5162</v>
      </c>
    </row>
    <row r="16" spans="2:30" ht="15">
      <c r="B16" s="323"/>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2" t="s">
        <v>987</v>
      </c>
      <c r="C19" s="104" t="s">
        <v>961</v>
      </c>
      <c r="D19" s="104" t="s">
        <v>957</v>
      </c>
      <c r="E19" s="128">
        <v>187</v>
      </c>
      <c r="F19" s="128">
        <f>3827.00918674286+8801.47775520002</f>
        <v>12628.48694194288</v>
      </c>
      <c r="G19" s="105" t="s">
        <v>446</v>
      </c>
      <c r="I19" s="301">
        <v>754</v>
      </c>
      <c r="J19">
        <v>32806</v>
      </c>
    </row>
    <row r="20" spans="2:18" ht="16.5" customHeight="1">
      <c r="B20" s="323"/>
      <c r="C20" s="104" t="s">
        <v>960</v>
      </c>
      <c r="D20" s="104" t="s">
        <v>957</v>
      </c>
      <c r="E20" s="128"/>
      <c r="F20" s="128"/>
      <c r="G20" s="106" t="s">
        <v>1026</v>
      </c>
      <c r="H20" s="87" t="s">
        <v>446</v>
      </c>
      <c r="N20" s="83" t="s">
        <v>1302</v>
      </c>
    </row>
    <row r="21" spans="2:18" ht="15">
      <c r="B21" s="109" t="s">
        <v>986</v>
      </c>
      <c r="C21" s="104" t="s">
        <v>959</v>
      </c>
      <c r="D21" s="104" t="s">
        <v>957</v>
      </c>
      <c r="E21" s="128">
        <v>188.66894409937888</v>
      </c>
      <c r="F21" s="128">
        <v>3870.0603957018634</v>
      </c>
      <c r="G21" s="105" t="s">
        <v>446</v>
      </c>
      <c r="I21" s="301">
        <v>763</v>
      </c>
      <c r="J21">
        <v>24068</v>
      </c>
      <c r="N21" s="301"/>
      <c r="O21" s="301"/>
      <c r="P21" s="301"/>
      <c r="Q21" s="324" t="s">
        <v>1307</v>
      </c>
      <c r="R21" s="324"/>
    </row>
    <row r="22" spans="2:18" ht="15" customHeight="1">
      <c r="B22" s="109"/>
      <c r="C22" s="104" t="s">
        <v>958</v>
      </c>
      <c r="D22" s="104" t="s">
        <v>957</v>
      </c>
      <c r="E22" s="128">
        <v>196.99111111111114</v>
      </c>
      <c r="F22" s="128">
        <v>4040.7683472000003</v>
      </c>
      <c r="G22" s="106" t="s">
        <v>1026</v>
      </c>
      <c r="H22" s="87" t="s">
        <v>434</v>
      </c>
      <c r="N22" s="301"/>
      <c r="O22" s="301"/>
      <c r="P22" s="301"/>
      <c r="Q22" s="301" t="s">
        <v>1310</v>
      </c>
      <c r="R22" s="301" t="s">
        <v>1311</v>
      </c>
    </row>
    <row r="23" spans="2:18" ht="15">
      <c r="B23" s="110" t="s">
        <v>1018</v>
      </c>
      <c r="C23" s="104" t="s">
        <v>995</v>
      </c>
      <c r="D23" s="104" t="s">
        <v>957</v>
      </c>
      <c r="E23" s="128"/>
      <c r="F23" s="128">
        <v>822</v>
      </c>
      <c r="G23" s="109" t="s">
        <v>434</v>
      </c>
      <c r="N23" s="301"/>
      <c r="O23" s="301" t="s">
        <v>1305</v>
      </c>
      <c r="P23" s="301" t="s">
        <v>1027</v>
      </c>
      <c r="Q23" s="301" t="s">
        <v>1308</v>
      </c>
      <c r="R23" s="301" t="s">
        <v>1309</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1303</v>
      </c>
      <c r="O25">
        <v>358</v>
      </c>
      <c r="P25">
        <v>77</v>
      </c>
      <c r="Q25">
        <v>6334609</v>
      </c>
      <c r="R25">
        <v>64415</v>
      </c>
    </row>
    <row r="26" spans="2:18" ht="15">
      <c r="B26" s="109" t="s">
        <v>984</v>
      </c>
      <c r="C26" s="130" t="s">
        <v>954</v>
      </c>
      <c r="D26" s="130" t="s">
        <v>953</v>
      </c>
      <c r="E26" s="78">
        <v>34.791517018356608</v>
      </c>
      <c r="F26" s="78">
        <v>1097.1852806908939</v>
      </c>
      <c r="G26" s="105" t="s">
        <v>434</v>
      </c>
      <c r="N26" t="s">
        <v>1304</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1306</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1308</v>
      </c>
      <c r="R28" s="301" t="s">
        <v>1309</v>
      </c>
    </row>
    <row r="29" spans="2:18" ht="15">
      <c r="B29" s="109" t="s">
        <v>988</v>
      </c>
      <c r="C29" s="111" t="s">
        <v>991</v>
      </c>
      <c r="D29" s="112" t="s">
        <v>1033</v>
      </c>
      <c r="E29" s="113">
        <f t="shared" ref="E29:E30" si="3">I29*$J$28</f>
        <v>3.5</v>
      </c>
      <c r="F29" s="114">
        <f t="shared" ref="F29:F30" si="4">108*I29</f>
        <v>108</v>
      </c>
      <c r="G29" s="106" t="s">
        <v>1035</v>
      </c>
      <c r="H29" s="1"/>
      <c r="I29">
        <v>1</v>
      </c>
      <c r="N29" s="301" t="s">
        <v>1312</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1316</v>
      </c>
      <c r="R30" s="301" t="s">
        <v>1317</v>
      </c>
    </row>
    <row r="31" spans="2:18" ht="15">
      <c r="B31" s="109" t="s">
        <v>1019</v>
      </c>
      <c r="C31" s="115" t="s">
        <v>996</v>
      </c>
      <c r="D31" s="126" t="s">
        <v>1043</v>
      </c>
      <c r="E31" s="115"/>
      <c r="F31" s="115">
        <v>612</v>
      </c>
      <c r="G31" s="109" t="s">
        <v>439</v>
      </c>
      <c r="N31" s="301" t="s">
        <v>1326</v>
      </c>
      <c r="Q31">
        <f>Q29/(SUM(O24:O27)/SUM(P24:P27))</f>
        <v>667585.93737373746</v>
      </c>
      <c r="R31">
        <f>R29/(SUM(O24:O27)/SUM(P24:P27))</f>
        <v>7399.0929292929286</v>
      </c>
    </row>
    <row r="32" spans="2:18" ht="15">
      <c r="B32" s="110" t="s">
        <v>1020</v>
      </c>
      <c r="C32" s="115" t="s">
        <v>997</v>
      </c>
      <c r="D32" s="126" t="s">
        <v>1044</v>
      </c>
      <c r="E32" s="115"/>
      <c r="F32" s="115">
        <v>1776</v>
      </c>
      <c r="G32" s="109" t="s">
        <v>456</v>
      </c>
      <c r="Q32">
        <v>70000</v>
      </c>
    </row>
    <row r="33" spans="2:17" ht="15">
      <c r="B33" s="109" t="s">
        <v>1021</v>
      </c>
      <c r="C33" s="115" t="s">
        <v>998</v>
      </c>
      <c r="D33" s="126" t="s">
        <v>1044</v>
      </c>
      <c r="E33" s="115"/>
      <c r="F33" s="115">
        <v>1225</v>
      </c>
      <c r="G33" s="109" t="s">
        <v>448</v>
      </c>
      <c r="Q33">
        <f>Q32*1000</f>
        <v>70000000</v>
      </c>
    </row>
    <row r="34" spans="2:17" ht="15">
      <c r="B34" s="110" t="s">
        <v>1022</v>
      </c>
      <c r="C34" s="115" t="s">
        <v>999</v>
      </c>
      <c r="D34" s="126" t="s">
        <v>1044</v>
      </c>
      <c r="E34" s="115"/>
      <c r="F34" s="115">
        <v>2465</v>
      </c>
      <c r="G34" s="109" t="s">
        <v>439</v>
      </c>
      <c r="Q34">
        <f>Q33/1000000</f>
        <v>70</v>
      </c>
    </row>
    <row r="35" spans="2:1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44"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1295</v>
      </c>
      <c r="H3" s="326"/>
      <c r="I3" s="326"/>
      <c r="J3" s="326"/>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1057</v>
      </c>
      <c r="E10" s="325"/>
      <c r="AI10" s="325" t="s">
        <v>1056</v>
      </c>
      <c r="AJ10" s="325"/>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1055</v>
      </c>
      <c r="E35" s="325"/>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1301</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1301</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IFERROR(SUMPRODUCT((Table1[Group]=A66)*(Table1[Avg_DCCH_90percDH])*(Table1[SumHD_TJ]/((G5)))),0)</f>
        <v>4.8807111578023079</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4.8807111578023079</v>
      </c>
    </row>
    <row r="67" spans="1:31">
      <c r="A67">
        <v>1</v>
      </c>
      <c r="C67" s="25" t="s">
        <v>466</v>
      </c>
      <c r="D67" s="26" cm="1">
        <f t="array" ref="D67">IFERROR(SUMPRODUCT((Table1[Group]=A67)*(Table1[Avg_DCCH_90percDH])*(Table1[SumHD_TJ]/((H5)))),0)</f>
        <v>5.489112875732757</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5.489112875732757</v>
      </c>
    </row>
    <row r="68" spans="1:31">
      <c r="A68">
        <v>2</v>
      </c>
      <c r="C68" s="25" t="s">
        <v>467</v>
      </c>
      <c r="D68" s="26" cm="1">
        <f t="array" ref="D68">IFERROR(SUMPRODUCT((Table1[Group]=A68)*(Table1[Avg_DCCH_90percDH])*(Table1[SumHD_TJ]/((I5)))),0)</f>
        <v>10.147570313866483</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10.147570313866483</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4.8807111578023079</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4.8807111578023079</v>
      </c>
    </row>
    <row r="74" spans="1:31">
      <c r="A74">
        <v>1</v>
      </c>
      <c r="C74" s="25" t="s">
        <v>470</v>
      </c>
      <c r="D74" s="26">
        <f t="shared" ref="D74:S76" si="23">D67</f>
        <v>5.489112875732757</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5.489112875732757</v>
      </c>
    </row>
    <row r="75" spans="1:31">
      <c r="A75">
        <v>2</v>
      </c>
      <c r="C75" s="25" t="s">
        <v>471</v>
      </c>
      <c r="D75" s="26">
        <f t="shared" si="23"/>
        <v>10.147570313866483</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10.147570313866483</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4.8807111578023081E-2</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4.8807111578023081E-2</v>
      </c>
    </row>
    <row r="81" spans="1:31">
      <c r="A81">
        <v>1</v>
      </c>
      <c r="C81" s="25" t="s">
        <v>466</v>
      </c>
      <c r="D81" s="26">
        <f>D67*$A$5</f>
        <v>5.4891128757327573E-2</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5.4891128757327573E-2</v>
      </c>
    </row>
    <row r="82" spans="1:31">
      <c r="A82">
        <v>2</v>
      </c>
      <c r="C82" s="25" t="s">
        <v>467</v>
      </c>
      <c r="D82" s="26">
        <f>D68*$A$5</f>
        <v>0.10147570313866483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0.10147570313866483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4.8807111578023081E-2</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4.8807111578023081E-2</v>
      </c>
    </row>
    <row r="88" spans="1:31">
      <c r="A88">
        <v>1</v>
      </c>
      <c r="C88" s="25" t="s">
        <v>470</v>
      </c>
      <c r="D88" s="26">
        <f>D74*$A$5</f>
        <v>5.4891128757327573E-2</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5.4891128757327573E-2</v>
      </c>
    </row>
    <row r="89" spans="1:31">
      <c r="A89">
        <v>2</v>
      </c>
      <c r="C89" s="25" t="s">
        <v>471</v>
      </c>
      <c r="D89" s="26">
        <f>D75*$A$5</f>
        <v>0.10147570313866483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0.10147570313866483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9" t="s">
        <v>526</v>
      </c>
      <c r="D4" s="329"/>
      <c r="E4" s="329"/>
      <c r="F4" s="329"/>
      <c r="G4" s="329"/>
      <c r="H4" s="47" t="s">
        <v>529</v>
      </c>
      <c r="I4" s="47" t="s">
        <v>521</v>
      </c>
      <c r="J4" s="47" t="s">
        <v>522</v>
      </c>
      <c r="K4" s="327" t="s">
        <v>530</v>
      </c>
      <c r="L4" s="328"/>
      <c r="M4" s="328"/>
      <c r="N4" s="328"/>
      <c r="O4" s="328"/>
      <c r="P4" s="328"/>
      <c r="Q4" s="328"/>
      <c r="R4" s="328"/>
      <c r="S4" s="328"/>
      <c r="T4" s="328"/>
      <c r="U4" s="327" t="s">
        <v>527</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895</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30" t="s">
        <v>937</v>
      </c>
      <c r="D1" s="330"/>
      <c r="E1" s="330"/>
      <c r="F1" s="330"/>
      <c r="G1" s="330"/>
      <c r="H1" s="330"/>
      <c r="I1" s="330"/>
      <c r="J1" s="330"/>
      <c r="K1" s="330"/>
      <c r="L1" s="330"/>
      <c r="M1" s="330"/>
      <c r="N1" s="330"/>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743</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711</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948</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30" t="s">
        <v>654</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715</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951</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939</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928</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30" t="s">
        <v>916</v>
      </c>
      <c r="D1" s="330"/>
      <c r="E1" s="330"/>
      <c r="F1" s="330"/>
      <c r="G1" s="330"/>
      <c r="H1" s="330"/>
      <c r="I1" s="330"/>
      <c r="J1" s="330"/>
      <c r="K1" s="330"/>
      <c r="L1" s="330"/>
      <c r="M1" s="330"/>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779</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844</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809</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1059</v>
      </c>
      <c r="B1" s="336" t="s">
        <v>1060</v>
      </c>
      <c r="C1" s="337"/>
      <c r="D1" s="337"/>
      <c r="E1" s="337"/>
      <c r="F1" s="338"/>
      <c r="G1" s="336" t="s">
        <v>1061</v>
      </c>
      <c r="H1" s="337"/>
      <c r="I1" s="337"/>
      <c r="J1" s="337"/>
      <c r="K1" s="338"/>
    </row>
    <row r="2" spans="1:14" ht="13.5" thickBot="1">
      <c r="A2" s="335"/>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1063</v>
      </c>
      <c r="B7" s="333"/>
      <c r="C7" s="333"/>
      <c r="D7" s="333"/>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3" t="s">
        <v>1075</v>
      </c>
      <c r="B18" s="333"/>
      <c r="C18" s="333"/>
      <c r="D18" s="333"/>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3" t="s">
        <v>1083</v>
      </c>
      <c r="B28" s="333"/>
      <c r="C28" s="333"/>
      <c r="D28" s="333"/>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1" t="s">
        <v>1087</v>
      </c>
      <c r="U30" s="332"/>
      <c r="V30" s="332"/>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1" t="s">
        <v>1086</v>
      </c>
      <c r="U35" s="332"/>
      <c r="V35" s="332"/>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3" t="s">
        <v>1066</v>
      </c>
      <c r="B40" s="333"/>
      <c r="C40" s="333"/>
      <c r="D40" s="333"/>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1" t="s">
        <v>1120</v>
      </c>
      <c r="U41" s="332"/>
      <c r="V41" s="332"/>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3" t="s">
        <v>1122</v>
      </c>
      <c r="B45" s="333"/>
      <c r="C45" s="333"/>
      <c r="D45" s="333"/>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30" t="s">
        <v>773</v>
      </c>
      <c r="D1" s="330"/>
      <c r="E1" s="330"/>
      <c r="F1" s="330"/>
      <c r="G1" s="330"/>
      <c r="H1" s="330"/>
      <c r="I1" s="330"/>
      <c r="J1" s="330"/>
      <c r="K1" s="330"/>
      <c r="L1" s="330"/>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2023-05-08T19:48:59Z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