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3341E8E5-CD1F-46BC-AC67-890E59EC1306}" xr6:coauthVersionLast="45" xr6:coauthVersionMax="47" xr10:uidLastSave="{00000000-0000-0000-0000-000000000000}"/>
  <bookViews>
    <workbookView xWindow="-120" yWindow="-120" windowWidth="29040" windowHeight="15840" firstSheet="5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62" l="1"/>
  <c r="AB71" i="73" l="1"/>
  <c r="L71" i="73"/>
  <c r="H71" i="73"/>
  <c r="C71" i="73"/>
  <c r="AQ71" i="73" s="1"/>
  <c r="AB70" i="73"/>
  <c r="AQ70" i="73" s="1"/>
  <c r="L70" i="73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Q62" i="73"/>
  <c r="AB62" i="73"/>
  <c r="L62" i="73"/>
  <c r="H62" i="73"/>
  <c r="C62" i="73"/>
  <c r="AB61" i="73"/>
  <c r="AQ61" i="73" s="1"/>
  <c r="L61" i="73"/>
  <c r="H61" i="73"/>
  <c r="C61" i="73"/>
  <c r="AB60" i="73"/>
  <c r="L60" i="73"/>
  <c r="H60" i="73"/>
  <c r="C60" i="73"/>
  <c r="AQ60" i="73" s="1"/>
  <c r="AB59" i="73"/>
  <c r="L59" i="73"/>
  <c r="H59" i="73"/>
  <c r="AQ59" i="73" s="1"/>
  <c r="C59" i="73"/>
  <c r="AP58" i="73"/>
  <c r="AP57" i="73" s="1"/>
  <c r="AN58" i="73"/>
  <c r="AN29" i="73" s="1"/>
  <c r="AJ58" i="73"/>
  <c r="AI58" i="73"/>
  <c r="AH58" i="73"/>
  <c r="AG58" i="73"/>
  <c r="AE58" i="73"/>
  <c r="AD58" i="73"/>
  <c r="AC58" i="73"/>
  <c r="AB58" i="73"/>
  <c r="AB57" i="73" s="1"/>
  <c r="Z58" i="73"/>
  <c r="Y58" i="73"/>
  <c r="Y57" i="73" s="1"/>
  <c r="X58" i="73"/>
  <c r="W58" i="73"/>
  <c r="V58" i="73"/>
  <c r="R58" i="73"/>
  <c r="P58" i="73"/>
  <c r="P29" i="73" s="1"/>
  <c r="O58" i="73"/>
  <c r="O29" i="73" s="1"/>
  <c r="N58" i="73"/>
  <c r="M58" i="73"/>
  <c r="L58" i="73" s="1"/>
  <c r="L57" i="73" s="1"/>
  <c r="K58" i="73"/>
  <c r="J58" i="73"/>
  <c r="I58" i="73"/>
  <c r="H58" i="73"/>
  <c r="H57" i="73" s="1"/>
  <c r="F58" i="73"/>
  <c r="C58" i="73" s="1"/>
  <c r="AO57" i="73"/>
  <c r="AM57" i="73"/>
  <c r="AL57" i="73"/>
  <c r="AK57" i="73"/>
  <c r="AJ57" i="73"/>
  <c r="AI57" i="73"/>
  <c r="AH57" i="73"/>
  <c r="AG57" i="73"/>
  <c r="AF57" i="73"/>
  <c r="AE57" i="73"/>
  <c r="AD57" i="73"/>
  <c r="AC57" i="73"/>
  <c r="AA57" i="73"/>
  <c r="Z57" i="73"/>
  <c r="X57" i="73"/>
  <c r="W57" i="73"/>
  <c r="V57" i="73"/>
  <c r="U57" i="73"/>
  <c r="T57" i="73"/>
  <c r="S57" i="73"/>
  <c r="R57" i="73"/>
  <c r="Q57" i="73"/>
  <c r="N57" i="73"/>
  <c r="M57" i="73"/>
  <c r="K57" i="73"/>
  <c r="J57" i="73"/>
  <c r="I57" i="73"/>
  <c r="G57" i="73"/>
  <c r="E57" i="73"/>
  <c r="D57" i="73"/>
  <c r="AB56" i="73"/>
  <c r="L56" i="73"/>
  <c r="H56" i="73"/>
  <c r="C56" i="73"/>
  <c r="AQ56" i="73" s="1"/>
  <c r="AQ55" i="73"/>
  <c r="AB55" i="73"/>
  <c r="L55" i="73"/>
  <c r="H55" i="73"/>
  <c r="C55" i="73"/>
  <c r="AB54" i="73"/>
  <c r="L54" i="73"/>
  <c r="H54" i="73"/>
  <c r="C54" i="73"/>
  <c r="AQ54" i="73" s="1"/>
  <c r="AQ53" i="73"/>
  <c r="AB53" i="73"/>
  <c r="L53" i="73"/>
  <c r="H53" i="73"/>
  <c r="C53" i="73"/>
  <c r="AB52" i="73"/>
  <c r="AQ52" i="73" s="1"/>
  <c r="L52" i="73"/>
  <c r="H52" i="73"/>
  <c r="C52" i="73"/>
  <c r="AB51" i="73"/>
  <c r="L51" i="73"/>
  <c r="H51" i="73"/>
  <c r="C51" i="73"/>
  <c r="AQ51" i="73" s="1"/>
  <c r="AB50" i="73"/>
  <c r="L50" i="73"/>
  <c r="H50" i="73"/>
  <c r="C50" i="73"/>
  <c r="AQ50" i="73" s="1"/>
  <c r="AB49" i="73"/>
  <c r="AB45" i="73" s="1"/>
  <c r="L49" i="73"/>
  <c r="H49" i="73"/>
  <c r="C49" i="73"/>
  <c r="AQ49" i="73" s="1"/>
  <c r="AB48" i="73"/>
  <c r="L48" i="73"/>
  <c r="H48" i="73"/>
  <c r="C48" i="73"/>
  <c r="C45" i="73" s="1"/>
  <c r="AQ47" i="73"/>
  <c r="AB47" i="73"/>
  <c r="L47" i="73"/>
  <c r="H47" i="73"/>
  <c r="C47" i="73"/>
  <c r="AB46" i="73"/>
  <c r="L46" i="73"/>
  <c r="L45" i="73" s="1"/>
  <c r="H46" i="73"/>
  <c r="H45" i="73" s="1"/>
  <c r="C46" i="73"/>
  <c r="AQ46" i="73" s="1"/>
  <c r="AP45" i="73"/>
  <c r="AO45" i="73"/>
  <c r="AN45" i="73"/>
  <c r="AM45" i="73"/>
  <c r="AL45" i="73"/>
  <c r="AL29" i="73" s="1"/>
  <c r="AK45" i="73"/>
  <c r="AK29" i="73" s="1"/>
  <c r="AJ45" i="73"/>
  <c r="AI45" i="73"/>
  <c r="AH45" i="73"/>
  <c r="AG45" i="73"/>
  <c r="AF45" i="73"/>
  <c r="AE45" i="73"/>
  <c r="AD45" i="73"/>
  <c r="AD29" i="73" s="1"/>
  <c r="AC45" i="73"/>
  <c r="AC29" i="73" s="1"/>
  <c r="AA45" i="73"/>
  <c r="Z45" i="73"/>
  <c r="Y45" i="73"/>
  <c r="X45" i="73"/>
  <c r="W45" i="73"/>
  <c r="V45" i="73"/>
  <c r="V29" i="73" s="1"/>
  <c r="U45" i="73"/>
  <c r="U29" i="73" s="1"/>
  <c r="T45" i="73"/>
  <c r="S45" i="73"/>
  <c r="R45" i="73"/>
  <c r="Q45" i="73"/>
  <c r="P45" i="73"/>
  <c r="O45" i="73"/>
  <c r="N45" i="73"/>
  <c r="M45" i="73"/>
  <c r="K45" i="73"/>
  <c r="J45" i="73"/>
  <c r="I45" i="73"/>
  <c r="G45" i="73"/>
  <c r="F45" i="73"/>
  <c r="F29" i="73" s="1"/>
  <c r="E45" i="73"/>
  <c r="E29" i="73" s="1"/>
  <c r="D45" i="73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Q41" i="73"/>
  <c r="AB41" i="73"/>
  <c r="L41" i="73"/>
  <c r="H41" i="73"/>
  <c r="C41" i="73"/>
  <c r="AB40" i="73"/>
  <c r="AQ40" i="73" s="1"/>
  <c r="L40" i="73"/>
  <c r="H40" i="73"/>
  <c r="C40" i="73"/>
  <c r="AB39" i="73"/>
  <c r="L39" i="73"/>
  <c r="H39" i="73"/>
  <c r="C39" i="73"/>
  <c r="AQ39" i="73" s="1"/>
  <c r="AB38" i="73"/>
  <c r="L38" i="73"/>
  <c r="H38" i="73"/>
  <c r="C38" i="73"/>
  <c r="AQ38" i="73" s="1"/>
  <c r="AB37" i="73"/>
  <c r="L37" i="73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L30" i="73" s="1"/>
  <c r="L29" i="73" s="1"/>
  <c r="H34" i="73"/>
  <c r="C34" i="73"/>
  <c r="AQ34" i="73" s="1"/>
  <c r="AQ33" i="73"/>
  <c r="AB33" i="73"/>
  <c r="L33" i="73"/>
  <c r="H33" i="73"/>
  <c r="C33" i="73"/>
  <c r="AB32" i="73"/>
  <c r="AB30" i="73" s="1"/>
  <c r="AB29" i="73" s="1"/>
  <c r="L32" i="73"/>
  <c r="H32" i="73"/>
  <c r="C32" i="73"/>
  <c r="AB31" i="73"/>
  <c r="L31" i="73"/>
  <c r="H31" i="73"/>
  <c r="H30" i="73" s="1"/>
  <c r="H29" i="73" s="1"/>
  <c r="C31" i="73"/>
  <c r="AQ31" i="73" s="1"/>
  <c r="AP30" i="73"/>
  <c r="AN30" i="73"/>
  <c r="AM30" i="73"/>
  <c r="AL30" i="73"/>
  <c r="AK30" i="73"/>
  <c r="AJ30" i="73"/>
  <c r="AJ29" i="73" s="1"/>
  <c r="AI30" i="73"/>
  <c r="AI29" i="73" s="1"/>
  <c r="AH30" i="73"/>
  <c r="AG30" i="73"/>
  <c r="AG29" i="73" s="1"/>
  <c r="AF30" i="73"/>
  <c r="AE30" i="73"/>
  <c r="AD30" i="73"/>
  <c r="AC30" i="73"/>
  <c r="Z30" i="73"/>
  <c r="Y30" i="73"/>
  <c r="X30" i="73"/>
  <c r="W30" i="73"/>
  <c r="R30" i="73"/>
  <c r="P30" i="73"/>
  <c r="O30" i="73"/>
  <c r="N30" i="73"/>
  <c r="N29" i="73" s="1"/>
  <c r="M30" i="73"/>
  <c r="M29" i="73" s="1"/>
  <c r="K30" i="73"/>
  <c r="J30" i="73"/>
  <c r="I30" i="73"/>
  <c r="AP29" i="73"/>
  <c r="AO29" i="73"/>
  <c r="AM29" i="73"/>
  <c r="AH29" i="73"/>
  <c r="AF29" i="73"/>
  <c r="AE29" i="73"/>
  <c r="AA29" i="73"/>
  <c r="Z29" i="73"/>
  <c r="Y29" i="73"/>
  <c r="X29" i="73"/>
  <c r="W29" i="73"/>
  <c r="T29" i="73"/>
  <c r="S29" i="73"/>
  <c r="R29" i="73"/>
  <c r="Q29" i="73"/>
  <c r="K29" i="73"/>
  <c r="J29" i="73"/>
  <c r="I29" i="73"/>
  <c r="G29" i="73"/>
  <c r="D29" i="73"/>
  <c r="AB28" i="73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B27" i="73"/>
  <c r="AA27" i="73"/>
  <c r="V27" i="73"/>
  <c r="U27" i="73"/>
  <c r="T27" i="73"/>
  <c r="S27" i="73"/>
  <c r="R27" i="73"/>
  <c r="Q27" i="73"/>
  <c r="P27" i="73"/>
  <c r="O27" i="73"/>
  <c r="N27" i="73"/>
  <c r="M27" i="73"/>
  <c r="K27" i="73"/>
  <c r="J27" i="73"/>
  <c r="I27" i="73"/>
  <c r="H27" i="73"/>
  <c r="G27" i="73"/>
  <c r="F27" i="73"/>
  <c r="E27" i="73"/>
  <c r="D27" i="73"/>
  <c r="C27" i="73"/>
  <c r="AI26" i="73"/>
  <c r="AA26" i="73"/>
  <c r="AA72" i="73" s="1"/>
  <c r="S26" i="73"/>
  <c r="S72" i="73" s="1"/>
  <c r="K26" i="73"/>
  <c r="K72" i="73" s="1"/>
  <c r="AB25" i="73"/>
  <c r="L25" i="73"/>
  <c r="AQ25" i="73" s="1"/>
  <c r="H25" i="73"/>
  <c r="C25" i="73"/>
  <c r="AB24" i="73"/>
  <c r="L24" i="73"/>
  <c r="E24" i="73"/>
  <c r="C24" i="73"/>
  <c r="C21" i="73" s="1"/>
  <c r="AQ23" i="73"/>
  <c r="AD22" i="73"/>
  <c r="AC22" i="73"/>
  <c r="AC21" i="73" s="1"/>
  <c r="AB22" i="73"/>
  <c r="AP21" i="73"/>
  <c r="AN21" i="73"/>
  <c r="AM21" i="73"/>
  <c r="AL21" i="73"/>
  <c r="AK21" i="73"/>
  <c r="AJ21" i="73"/>
  <c r="AJ26" i="73" s="1"/>
  <c r="AJ72" i="73" s="1"/>
  <c r="AI21" i="73"/>
  <c r="AH21" i="73"/>
  <c r="AG21" i="73"/>
  <c r="AF21" i="73"/>
  <c r="AE21" i="73"/>
  <c r="AD21" i="73"/>
  <c r="AB21" i="73"/>
  <c r="AA21" i="73"/>
  <c r="Z21" i="73"/>
  <c r="Y21" i="73"/>
  <c r="X21" i="73"/>
  <c r="W21" i="73"/>
  <c r="V21" i="73"/>
  <c r="U21" i="73"/>
  <c r="T21" i="73"/>
  <c r="T26" i="73" s="1"/>
  <c r="T72" i="73" s="1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E21" i="73"/>
  <c r="D21" i="73"/>
  <c r="D26" i="73" s="1"/>
  <c r="D72" i="73" s="1"/>
  <c r="AQ20" i="73"/>
  <c r="AB20" i="73"/>
  <c r="L20" i="73"/>
  <c r="H20" i="73"/>
  <c r="AB19" i="73"/>
  <c r="L19" i="73"/>
  <c r="H19" i="73"/>
  <c r="AQ19" i="73" s="1"/>
  <c r="AQ18" i="73"/>
  <c r="AB17" i="73"/>
  <c r="L17" i="73"/>
  <c r="H17" i="73"/>
  <c r="C17" i="73"/>
  <c r="AQ17" i="73" s="1"/>
  <c r="AQ16" i="73"/>
  <c r="AB16" i="73"/>
  <c r="AB15" i="73" s="1"/>
  <c r="L16" i="73"/>
  <c r="L15" i="73" s="1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AB14" i="73"/>
  <c r="L14" i="73"/>
  <c r="H14" i="73"/>
  <c r="C14" i="73"/>
  <c r="AQ14" i="73" s="1"/>
  <c r="AB13" i="73"/>
  <c r="L13" i="73"/>
  <c r="H13" i="73"/>
  <c r="C13" i="73"/>
  <c r="AQ13" i="73" s="1"/>
  <c r="AQ12" i="73"/>
  <c r="AB11" i="73"/>
  <c r="L11" i="73"/>
  <c r="AQ11" i="73" s="1"/>
  <c r="H11" i="73"/>
  <c r="C11" i="73"/>
  <c r="AB10" i="73"/>
  <c r="AB9" i="73" s="1"/>
  <c r="L10" i="73"/>
  <c r="L9" i="73" s="1"/>
  <c r="H10" i="73"/>
  <c r="C10" i="73"/>
  <c r="C9" i="73" s="1"/>
  <c r="AP9" i="73"/>
  <c r="AO9" i="73"/>
  <c r="AN9" i="73"/>
  <c r="AM9" i="73"/>
  <c r="AL9" i="73"/>
  <c r="AK9" i="73"/>
  <c r="AJ9" i="73"/>
  <c r="AI9" i="73"/>
  <c r="AH9" i="73"/>
  <c r="AG9" i="73"/>
  <c r="AF9" i="73"/>
  <c r="AE9" i="73"/>
  <c r="AD9" i="73"/>
  <c r="AC9" i="73"/>
  <c r="AA9" i="73"/>
  <c r="Z9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K9" i="73"/>
  <c r="J9" i="73"/>
  <c r="I9" i="73"/>
  <c r="H9" i="73"/>
  <c r="G9" i="73"/>
  <c r="F9" i="73"/>
  <c r="E9" i="73"/>
  <c r="D9" i="73"/>
  <c r="AM8" i="73"/>
  <c r="AK8" i="73"/>
  <c r="AE8" i="73"/>
  <c r="AC8" i="73"/>
  <c r="W8" i="73"/>
  <c r="U8" i="73"/>
  <c r="O8" i="73"/>
  <c r="M8" i="73"/>
  <c r="G8" i="73"/>
  <c r="E8" i="73"/>
  <c r="AP7" i="73"/>
  <c r="AP26" i="73" s="1"/>
  <c r="AP72" i="73" s="1"/>
  <c r="AO7" i="73"/>
  <c r="AN7" i="73"/>
  <c r="AN26" i="73" s="1"/>
  <c r="AN72" i="73" s="1"/>
  <c r="AM7" i="73"/>
  <c r="AM26" i="73" s="1"/>
  <c r="AM72" i="73" s="1"/>
  <c r="AL7" i="73"/>
  <c r="AL8" i="73" s="1"/>
  <c r="AK7" i="73"/>
  <c r="AK26" i="73" s="1"/>
  <c r="AK72" i="73" s="1"/>
  <c r="AJ7" i="73"/>
  <c r="AJ8" i="73" s="1"/>
  <c r="AI7" i="73"/>
  <c r="AI8" i="73" s="1"/>
  <c r="AH7" i="73"/>
  <c r="AH26" i="73" s="1"/>
  <c r="AH72" i="73" s="1"/>
  <c r="AG7" i="73"/>
  <c r="AG26" i="73" s="1"/>
  <c r="AG72" i="73" s="1"/>
  <c r="AF7" i="73"/>
  <c r="AF8" i="73" s="1"/>
  <c r="AE7" i="73"/>
  <c r="AE26" i="73" s="1"/>
  <c r="AE72" i="73" s="1"/>
  <c r="AD7" i="73"/>
  <c r="AD8" i="73" s="1"/>
  <c r="AC7" i="73"/>
  <c r="AC26" i="73" s="1"/>
  <c r="AC72" i="73" s="1"/>
  <c r="AA7" i="73"/>
  <c r="AA8" i="73" s="1"/>
  <c r="Z7" i="73"/>
  <c r="Z26" i="73" s="1"/>
  <c r="Y7" i="73"/>
  <c r="Y26" i="73" s="1"/>
  <c r="X7" i="73"/>
  <c r="X26" i="73" s="1"/>
  <c r="W7" i="73"/>
  <c r="W26" i="73" s="1"/>
  <c r="W72" i="73" s="1"/>
  <c r="V7" i="73"/>
  <c r="V8" i="73" s="1"/>
  <c r="U7" i="73"/>
  <c r="U26" i="73" s="1"/>
  <c r="U72" i="73" s="1"/>
  <c r="T7" i="73"/>
  <c r="T8" i="73" s="1"/>
  <c r="S7" i="73"/>
  <c r="S8" i="73" s="1"/>
  <c r="R7" i="73"/>
  <c r="R26" i="73" s="1"/>
  <c r="R72" i="73" s="1"/>
  <c r="Q7" i="73"/>
  <c r="Q26" i="73" s="1"/>
  <c r="Q72" i="73" s="1"/>
  <c r="P7" i="73"/>
  <c r="P8" i="73" s="1"/>
  <c r="O7" i="73"/>
  <c r="O26" i="73" s="1"/>
  <c r="O72" i="73" s="1"/>
  <c r="N7" i="73"/>
  <c r="N8" i="73" s="1"/>
  <c r="M7" i="73"/>
  <c r="M26" i="73" s="1"/>
  <c r="M72" i="73" s="1"/>
  <c r="K7" i="73"/>
  <c r="K8" i="73" s="1"/>
  <c r="J7" i="73"/>
  <c r="J26" i="73" s="1"/>
  <c r="J72" i="73" s="1"/>
  <c r="I7" i="73"/>
  <c r="I26" i="73" s="1"/>
  <c r="I72" i="73" s="1"/>
  <c r="G7" i="73"/>
  <c r="G26" i="73" s="1"/>
  <c r="G72" i="73" s="1"/>
  <c r="F7" i="73"/>
  <c r="F8" i="73" s="1"/>
  <c r="E7" i="73"/>
  <c r="E26" i="73" s="1"/>
  <c r="E72" i="73" s="1"/>
  <c r="D7" i="73"/>
  <c r="D8" i="73" s="1"/>
  <c r="AB6" i="73"/>
  <c r="L6" i="73"/>
  <c r="H6" i="73"/>
  <c r="C6" i="73"/>
  <c r="AQ6" i="73" s="1"/>
  <c r="AB5" i="73"/>
  <c r="L5" i="73"/>
  <c r="H5" i="73"/>
  <c r="C5" i="73"/>
  <c r="AQ5" i="73" s="1"/>
  <c r="AQ4" i="73"/>
  <c r="AB4" i="73"/>
  <c r="L4" i="73"/>
  <c r="H4" i="73"/>
  <c r="C4" i="73"/>
  <c r="AB3" i="73"/>
  <c r="L3" i="73"/>
  <c r="H3" i="73"/>
  <c r="H7" i="73" s="1"/>
  <c r="C3" i="73"/>
  <c r="AQ3" i="73" s="1"/>
  <c r="AQ2" i="73"/>
  <c r="AB2" i="73"/>
  <c r="AB7" i="73" s="1"/>
  <c r="L2" i="73"/>
  <c r="L7" i="73" s="1"/>
  <c r="H2" i="73"/>
  <c r="C2" i="73"/>
  <c r="C7" i="73" s="1"/>
  <c r="B24" i="53"/>
  <c r="C24" i="53"/>
  <c r="B25" i="53"/>
  <c r="C25" i="53"/>
  <c r="B27" i="53"/>
  <c r="C27" i="53"/>
  <c r="B28" i="53"/>
  <c r="C28" i="53"/>
  <c r="B29" i="53"/>
  <c r="C29" i="53"/>
  <c r="B30" i="53"/>
  <c r="C30" i="53"/>
  <c r="B31" i="53"/>
  <c r="C31" i="53"/>
  <c r="B32" i="53"/>
  <c r="C32" i="53"/>
  <c r="B33" i="53"/>
  <c r="C33" i="53"/>
  <c r="B34" i="53"/>
  <c r="C34" i="53"/>
  <c r="B36" i="53"/>
  <c r="C36" i="53"/>
  <c r="B37" i="53"/>
  <c r="C37" i="53"/>
  <c r="B38" i="53"/>
  <c r="C38" i="53"/>
  <c r="B39" i="53"/>
  <c r="C39" i="53"/>
  <c r="B40" i="53"/>
  <c r="C40" i="53"/>
  <c r="B41" i="53"/>
  <c r="C41" i="53"/>
  <c r="B42" i="53"/>
  <c r="C42" i="53"/>
  <c r="B45" i="53"/>
  <c r="C45" i="53"/>
  <c r="C44" i="53"/>
  <c r="B44" i="53"/>
  <c r="B17" i="53"/>
  <c r="C17" i="53"/>
  <c r="B18" i="53"/>
  <c r="C18" i="53"/>
  <c r="B19" i="53"/>
  <c r="C19" i="53"/>
  <c r="B20" i="53"/>
  <c r="C20" i="53"/>
  <c r="B21" i="53"/>
  <c r="C21" i="53"/>
  <c r="B22" i="53"/>
  <c r="C22" i="53"/>
  <c r="C16" i="53"/>
  <c r="B16" i="53"/>
  <c r="B8" i="53"/>
  <c r="C8" i="53"/>
  <c r="B9" i="53"/>
  <c r="C9" i="53"/>
  <c r="B10" i="53"/>
  <c r="C10" i="53"/>
  <c r="B11" i="53"/>
  <c r="C11" i="53"/>
  <c r="B12" i="53"/>
  <c r="C12" i="53"/>
  <c r="B13" i="53"/>
  <c r="C13" i="53"/>
  <c r="B14" i="53"/>
  <c r="C14" i="53"/>
  <c r="C7" i="53"/>
  <c r="B7" i="53"/>
  <c r="B16" i="82"/>
  <c r="B19" i="80"/>
  <c r="C28" i="11"/>
  <c r="C29" i="11"/>
  <c r="B28" i="11"/>
  <c r="B29" i="11"/>
  <c r="C57" i="73" l="1"/>
  <c r="AQ58" i="73"/>
  <c r="H26" i="73"/>
  <c r="H72" i="73" s="1"/>
  <c r="H8" i="73"/>
  <c r="C8" i="73"/>
  <c r="AQ7" i="73"/>
  <c r="X28" i="73"/>
  <c r="AQ45" i="73"/>
  <c r="Y28" i="73"/>
  <c r="Y27" i="73" s="1"/>
  <c r="Y8" i="73" s="1"/>
  <c r="AQ9" i="73"/>
  <c r="L26" i="73"/>
  <c r="Z28" i="73"/>
  <c r="Z27" i="73" s="1"/>
  <c r="Z72" i="73" s="1"/>
  <c r="AB8" i="73"/>
  <c r="AB26" i="73"/>
  <c r="AB72" i="73" s="1"/>
  <c r="AI72" i="73"/>
  <c r="AN8" i="73"/>
  <c r="I8" i="73"/>
  <c r="Q8" i="73"/>
  <c r="AG8" i="73"/>
  <c r="AO8" i="73"/>
  <c r="AQ10" i="73"/>
  <c r="AQ24" i="73"/>
  <c r="C30" i="73"/>
  <c r="O57" i="73"/>
  <c r="J8" i="73"/>
  <c r="R8" i="73"/>
  <c r="Z8" i="73"/>
  <c r="AH8" i="73"/>
  <c r="AP8" i="73"/>
  <c r="C15" i="73"/>
  <c r="AQ15" i="73" s="1"/>
  <c r="AO22" i="73"/>
  <c r="AO21" i="73" s="1"/>
  <c r="AO26" i="73" s="1"/>
  <c r="AO72" i="73" s="1"/>
  <c r="F26" i="73"/>
  <c r="F72" i="73" s="1"/>
  <c r="N26" i="73"/>
  <c r="N72" i="73" s="1"/>
  <c r="V26" i="73"/>
  <c r="V72" i="73" s="1"/>
  <c r="AD26" i="73"/>
  <c r="AD72" i="73" s="1"/>
  <c r="AL26" i="73"/>
  <c r="AL72" i="73" s="1"/>
  <c r="P57" i="73"/>
  <c r="AN57" i="73"/>
  <c r="P26" i="73"/>
  <c r="P72" i="73" s="1"/>
  <c r="AF26" i="73"/>
  <c r="AF72" i="73" s="1"/>
  <c r="AQ48" i="73"/>
  <c r="AQ32" i="73"/>
  <c r="F57" i="73"/>
  <c r="C26" i="73" l="1"/>
  <c r="AQ30" i="73"/>
  <c r="AQ29" i="73" s="1"/>
  <c r="C29" i="73"/>
  <c r="Y72" i="73"/>
  <c r="X27" i="73"/>
  <c r="L28" i="73"/>
  <c r="AQ57" i="73"/>
  <c r="AQ22" i="73"/>
  <c r="AQ21" i="73" s="1"/>
  <c r="C72" i="73" l="1"/>
  <c r="AQ26" i="73"/>
  <c r="AQ28" i="73"/>
  <c r="AQ27" i="73" s="1"/>
  <c r="L27" i="73"/>
  <c r="X72" i="73"/>
  <c r="X8" i="73"/>
  <c r="L8" i="73" l="1"/>
  <c r="AQ8" i="73" s="1"/>
  <c r="L72" i="73"/>
  <c r="AQ72" i="73" s="1"/>
  <c r="N14" i="62" l="1"/>
  <c r="D18" i="62"/>
  <c r="C33" i="29" l="1"/>
  <c r="C5" i="29" l="1"/>
  <c r="C6" i="29"/>
  <c r="E33" i="29"/>
  <c r="E32" i="29"/>
  <c r="D33" i="29" l="1"/>
  <c r="L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T6" i="53"/>
  <c r="N7" i="11"/>
  <c r="N6" i="11"/>
  <c r="E37" i="29"/>
  <c r="E36" i="29"/>
  <c r="E35" i="29"/>
  <c r="E34" i="29"/>
  <c r="E31" i="29"/>
  <c r="E30" i="29"/>
  <c r="E29" i="29"/>
  <c r="E28" i="29"/>
  <c r="E27" i="29"/>
  <c r="E26" i="29"/>
  <c r="E25" i="29"/>
  <c r="E24" i="29"/>
  <c r="N19" i="62"/>
  <c r="N18" i="62"/>
  <c r="N17" i="62"/>
  <c r="N16" i="62"/>
  <c r="N15" i="62"/>
  <c r="N13" i="62"/>
  <c r="N12" i="62"/>
  <c r="N11" i="62"/>
  <c r="N10" i="62"/>
  <c r="N9" i="62"/>
  <c r="N8" i="62"/>
  <c r="N7" i="62"/>
  <c r="N6" i="62"/>
  <c r="N5" i="62"/>
  <c r="L19" i="62"/>
  <c r="C51" i="63"/>
  <c r="D22" i="62" s="1"/>
  <c r="M19" i="62" s="1"/>
  <c r="B22" i="62" s="1"/>
  <c r="L18" i="62"/>
  <c r="L17" i="62"/>
  <c r="C49" i="63"/>
  <c r="D20" i="62" s="1"/>
  <c r="M17" i="62" s="1"/>
  <c r="S6" i="53"/>
  <c r="M7" i="11"/>
  <c r="M6" i="11"/>
  <c r="L16" i="62"/>
  <c r="L15" i="62"/>
  <c r="L13" i="62"/>
  <c r="L12" i="62"/>
  <c r="L11" i="62"/>
  <c r="L10" i="62"/>
  <c r="L9" i="62"/>
  <c r="L8" i="62"/>
  <c r="L7" i="62"/>
  <c r="L6" i="62"/>
  <c r="L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0" i="62" l="1"/>
  <c r="D36" i="29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X6" i="82"/>
  <c r="W6" i="82"/>
  <c r="V6" i="82"/>
  <c r="H7" i="80"/>
  <c r="AD6" i="82" l="1"/>
  <c r="AC6" i="82" l="1"/>
  <c r="P10" i="80" l="1"/>
  <c r="E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U6" i="53" l="1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M5" i="62" s="1"/>
  <c r="D23" i="29"/>
  <c r="M13" i="62"/>
  <c r="B15" i="62" s="1"/>
  <c r="D31" i="29"/>
  <c r="D6" i="62"/>
  <c r="M6" i="62" s="1"/>
  <c r="B6" i="62" s="1"/>
  <c r="D24" i="29"/>
  <c r="M15" i="62"/>
  <c r="B18" i="62" s="1"/>
  <c r="D34" i="29"/>
  <c r="D7" i="62"/>
  <c r="M7" i="62" s="1"/>
  <c r="B7" i="62" s="1"/>
  <c r="D25" i="29"/>
  <c r="D19" i="62"/>
  <c r="M16" i="62" s="1"/>
  <c r="D35" i="29"/>
  <c r="D11" i="62"/>
  <c r="M9" i="62" s="1"/>
  <c r="B11" i="62" s="1"/>
  <c r="D27" i="29"/>
  <c r="D21" i="62"/>
  <c r="M18" i="62" s="1"/>
  <c r="B21" i="62" s="1"/>
  <c r="D37" i="29"/>
  <c r="D12" i="62"/>
  <c r="M10" i="62" s="1"/>
  <c r="B12" i="62" s="1"/>
  <c r="D28" i="29"/>
  <c r="D13" i="62"/>
  <c r="M11" i="62" s="1"/>
  <c r="B13" i="62" s="1"/>
  <c r="D29" i="29"/>
  <c r="D14" i="62"/>
  <c r="M12" i="62" s="1"/>
  <c r="B14" i="62" s="1"/>
  <c r="D30" i="29"/>
  <c r="E41" i="61"/>
  <c r="E32" i="61"/>
  <c r="E52" i="61" s="1"/>
  <c r="F13" i="53"/>
  <c r="F33" i="53"/>
  <c r="M3" i="53"/>
  <c r="D10" i="62"/>
  <c r="M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19" i="62" l="1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E35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B15" i="53" s="1"/>
  <c r="AF30" i="53"/>
  <c r="AF10" i="53"/>
  <c r="E55" i="61"/>
  <c r="AF33" i="53" s="1"/>
  <c r="AF13" i="53"/>
  <c r="C54" i="61"/>
  <c r="AD32" i="53" s="1"/>
  <c r="AD12" i="53"/>
  <c r="AG24" i="53"/>
  <c r="R23" i="53"/>
  <c r="B23" i="53" s="1"/>
  <c r="E54" i="61"/>
  <c r="AF32" i="53" s="1"/>
  <c r="AF12" i="53"/>
  <c r="D54" i="61"/>
  <c r="AE32" i="53" s="1"/>
  <c r="AE12" i="53"/>
  <c r="AG44" i="53"/>
  <c r="R43" i="53"/>
  <c r="B43" i="53" s="1"/>
  <c r="E51" i="61"/>
  <c r="AF29" i="53" s="1"/>
  <c r="AF9" i="53"/>
  <c r="E60" i="61"/>
  <c r="AF38" i="53" s="1"/>
  <c r="AF18" i="53"/>
  <c r="AG36" i="53"/>
  <c r="R35" i="53"/>
  <c r="B35" i="53" s="1"/>
  <c r="AG27" i="53"/>
  <c r="R26" i="53"/>
  <c r="B26" i="53" s="1"/>
  <c r="AD33" i="53"/>
  <c r="C52" i="75"/>
  <c r="S12" i="53" l="1"/>
  <c r="T12" i="53"/>
  <c r="S32" i="53"/>
  <c r="T32" i="53"/>
  <c r="S10" i="53"/>
  <c r="T10" i="53"/>
  <c r="L30" i="53"/>
  <c r="S30" i="53"/>
  <c r="F12" i="80"/>
  <c r="AD7" i="80"/>
  <c r="AD7" i="82"/>
  <c r="F9" i="82"/>
  <c r="G12" i="53"/>
  <c r="G32" i="53"/>
  <c r="G30" i="53"/>
  <c r="V32" i="53"/>
  <c r="R32" i="53"/>
  <c r="G10" i="53"/>
  <c r="W30" i="53"/>
  <c r="L32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H8" i="62" s="1"/>
  <c r="L15" i="75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H9" i="62" l="1"/>
  <c r="H7" i="62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M33" i="53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E6" i="49" l="1"/>
  <c r="G93" i="61"/>
  <c r="G8" i="79" s="1"/>
  <c r="J93" i="61"/>
  <c r="F8" i="79" s="1"/>
  <c r="G86" i="75"/>
  <c r="K35" i="61"/>
  <c r="M13" i="53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S38" i="53"/>
  <c r="T38" i="53"/>
  <c r="S39" i="53"/>
  <c r="T39" i="53"/>
  <c r="S29" i="53"/>
  <c r="T29" i="53"/>
  <c r="S18" i="53"/>
  <c r="T18" i="53"/>
  <c r="S9" i="53"/>
  <c r="T9" i="53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S45" i="53"/>
  <c r="T45" i="53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G7" i="53"/>
  <c r="S27" i="53"/>
  <c r="T27" i="53"/>
  <c r="S21" i="53"/>
  <c r="T21" i="53"/>
  <c r="S20" i="53"/>
  <c r="T20" i="53"/>
  <c r="S16" i="53"/>
  <c r="T16" i="53"/>
  <c r="S11" i="53"/>
  <c r="T11" i="53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W7" i="53"/>
  <c r="E7" i="53"/>
  <c r="R7" i="53"/>
  <c r="X7" i="53"/>
  <c r="L7" i="53"/>
  <c r="X14" i="53"/>
  <c r="W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D27" i="53"/>
  <c r="AD31" i="53"/>
  <c r="AD29" i="53"/>
  <c r="U11" i="53"/>
  <c r="D11" i="53" s="1"/>
  <c r="U8" i="53"/>
  <c r="D8" i="53" s="1"/>
  <c r="X8" i="53"/>
  <c r="V8" i="53"/>
  <c r="W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D37" i="53"/>
  <c r="D41" i="53"/>
  <c r="D42" i="53"/>
  <c r="D31" i="53"/>
  <c r="D34" i="53"/>
  <c r="D36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K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Q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<sst xmlns="http://schemas.openxmlformats.org/spreadsheetml/2006/main" count="1370" uniqueCount="627">
  <si>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</si>
  <si>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</si>
  <si>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</si>
  <si>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</si>
  <si>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</si>
  <si>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</si>
  <si>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</si>
  <si>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</si>
  <si>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</si>
  <si>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</si>
  <si>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</si>
  <si>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</si>
  <si>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</si>
  <si>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</si>
  <si>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</si>
  <si>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</si>
  <si>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</si>
  <si>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</si>
  <si>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</si>
  <si>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</si>
  <si>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</si>
  <si>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</si>
  <si>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</si>
  <si>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</si>
  <si>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</si>
  <si>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</si>
  <si>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</si>
  <si>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</si>
  <si>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</si>
  <si>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</si>
  <si>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</si>
  <si>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</si>
  <si>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</si>
  <si>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</si>
  <si>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</si>
  <si>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</si>
  <si>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</si>
  <si>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</si>
  <si>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</si>
  <si>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</si>
  <si>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</si>
  <si>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</si>
  <si>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</si>
  <si>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</si>
  <si>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</si>
  <si>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</si>
  <si>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</si>
  <si>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</si>
  <si>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</si>
  <si>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</si>
  <si>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</si>
  <si>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</si>
  <si>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</si>
  <si>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</si>
  <si>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</si>
  <si>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</si>
  <si>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</si>
  <si>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</si>
  <si>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</si>
  <si>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</si>
  <si>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</si>
  <si>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</si>
  <si>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</si>
  <si>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</si>
  <si>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</si>
  <si>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</si>
  <si>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</si>
  <si>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</si>
  <si>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</si>
  <si>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</si>
  <si>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</si>
  <si>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</si>
  <si>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</si>
  <si>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</si>
  <si>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</si>
  <si>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</si>
  <si>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</si>
  <si>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</si>
  <si>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</si>
  <si>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</si>
  <si>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</si>
  <si>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</si>
  <si>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</si>
  <si>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</si>
  <si>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</si>
  <si>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</si>
  <si>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</si>
  <si>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</si>
  <si>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</si>
  <si>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</si>
  <si>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</si>
  <si>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</si>
  <si>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</si>
  <si>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</si>
  <si>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</si>
  <si>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</si>
  <si>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</si>
  <si>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</si>
  <si>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</si>
  <si>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</si>
  <si>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</si>
  <si>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</si>
  <si>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</si>
  <si>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</si>
  <si>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</si>
  <si>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</si>
  <si>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</si>
  <si>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</si>
  <si>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</si>
  <si>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</si>
  <si>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</si>
  <si>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</si>
  <si>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</si>
  <si>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</si>
  <si>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</si>
  <si>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</si>
  <si>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</si>
  <si>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</si>
  <si>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</si>
  <si>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</si>
  <si>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</si>
  <si>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</si>
  <si>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</si>
  <si>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</si>
  <si>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</si>
  <si>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</si>
  <si>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</si>
  <si>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</si>
  <si>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</si>
  <si>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</si>
  <si>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</si>
  <si>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</si>
  <si>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</si>
  <si>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</si>
  <si>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</si>
  <si>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</si>
  <si>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</si>
  <si>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</si>
  <si>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</si>
  <si>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</si>
  <si>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</si>
  <si>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</si>
  <si>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</si>
  <si>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</si>
  <si>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</si>
  <si>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</si>
  <si>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</si>
  <si>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</si>
  <si>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</si>
  <si>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</si>
  <si>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</si>
  <si>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</si>
  <si>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</si>
  <si>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</si>
  <si>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</si>
  <si>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</si>
  <si>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</si>
  <si>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</si>
  <si>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</si>
  <si>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</si>
  <si>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</si>
  <si>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</si>
  <si>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</si>
  <si>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</si>
  <si>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</si>
  <si>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</si>
  <si>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</si>
  <si>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</si>
  <si>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</si>
  <si>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</si>
  <si>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</si>
  <si>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</si>
  <si>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</si>
  <si>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</si>
  <si>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</si>
  <si>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</si>
  <si>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</si>
  <si>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</si>
  <si>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</si>
  <si>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</si>
  <si>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</si>
  <si>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</si>
  <si>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</si>
  <si>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</si>
  <si>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</si>
  <si>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</si>
  <si>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</si>
  <si>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</si>
  <si>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</si>
  <si>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</si>
  <si>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</si>
  <si>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</si>
  <si>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</si>
  <si>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</si>
  <si>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</si>
  <si>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</si>
  <si>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</si>
  <si>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</si>
  <si>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</si>
  <si>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</si>
  <si>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</si>
  <si>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</si>
  <si>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</si>
  <si>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</si>
  <si>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</si>
  <si>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</si>
  <si>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</si>
  <si>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</si>
  <si>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</si>
  <si>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</si>
  <si>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</si>
  <si>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</si>
  <si>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</si>
  <si>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</si>
  <si>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</si>
  <si>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</si>
  <si>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</si>
  <si>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</si>
  <si>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</si>
  <si>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</si>
  <si>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</si>
  <si>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</si>
  <si>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</si>
  <si>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</si>
  <si>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</si>
  <si>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</si>
  <si>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</si>
  <si>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</si>
  <si>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</si>
  <si>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</si>
  <si>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</si>
  <si>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</si>
  <si>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</si>
  <si>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</si>
  <si>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</si>
  <si>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</si>
  <si>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</si>
  <si>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</si>
  <si>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</si>
  <si>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</si>
  <si>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</si>
  <si>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</si>
  <si>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</si>
  <si>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</si>
  <si>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</si>
  <si>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</si>
  <si>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</si>
  <si>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</si>
  <si>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</si>
  <si>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</si>
  <si>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</si>
  <si>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</si>
  <si>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</si>
  <si>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</si>
  <si>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</si>
  <si>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</si>
  <si>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</si>
  <si>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</si>
  <si>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</si>
  <si>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</si>
  <si>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</si>
  <si>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</si>
  <si>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</si>
  <si>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</si>
  <si>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</si>
  <si>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</si>
  <si>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</si>
  <si>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</si>
  <si>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</si>
  <si>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</si>
  <si>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</si>
  <si>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</si>
  <si>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</si>
  <si>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</si>
  <si>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</si>
  <si>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</si>
  <si>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</si>
  <si>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</si>
  <si>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</si>
  <si>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</si>
  <si>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</si>
  <si>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</si>
  <si>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</si>
  <si>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</si>
  <si>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</si>
  <si>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</si>
  <si>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</si>
  <si>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</si>
  <si>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</si>
  <si>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</si>
  <si>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</si>
  <si>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</si>
  <si>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</si>
  <si>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</si>
  <si>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</si>
  <si>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</si>
  <si>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</si>
  <si>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</si>
  <si>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</si>
  <si>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</si>
  <si>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</si>
  <si>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</si>
  <si>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</si>
  <si>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</si>
  <si>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</si>
  <si>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</si>
  <si>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</si>
  <si>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</si>
  <si>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</si>
  <si>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</si>
  <si>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</si>
  <si>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</si>
  <si>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</si>
  <si>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</si>
  <si>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</si>
  <si>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</si>
  <si>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</si>
  <si>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</si>
  <si>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</si>
  <si>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</si>
  <si>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</si>
  <si>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</si>
  <si>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</si>
  <si>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</si>
  <si>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</si>
  <si>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</si>
  <si>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</si>
  <si>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</si>
  <si>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</si>
  <si>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</si>
  <si>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</si>
  <si>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</si>
  <si>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</si>
  <si>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</si>
  <si>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</si>
  <si>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</si>
  <si>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</si>
  <si>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</si>
  <si>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</si>
  <si>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</si>
  <si>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</si>
  <si>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</si>
  <si>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</si>
  <si>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</si>
  <si>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</si>
  <si>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</si>
  <si>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</si>
  <si>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</si>
  <si>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</si>
  <si>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</si>
  <si>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</si>
  <si>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</si>
  <si>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</si>
  <si>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</si>
  <si>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</si>
  <si>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</si>
  <si>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</si>
  <si>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</si>
  <si>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</si>
  <si>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</si>
  <si>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</si>
  <si>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</si>
  <si>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</si>
  <si>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</si>
  <si>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</si>
  <si>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</si>
  <si>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</si>
  <si>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</si>
  <si>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</si>
  <si>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</si>
  <si>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</si>
  <si>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</si>
  <si>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</si>
  <si>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</si>
  <si>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</si>
  <si>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</si>
  <si>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</si>
  <si>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</si>
  <si>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</si>
  <si>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</si>
  <si>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</si>
  <si>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</si>
  <si>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</si>
  <si>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</si>
  <si>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</si>
  <si>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</si>
  <si>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</si>
  <si>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</si>
  <si>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</si>
  <si>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</si>
  <si>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</si>
  <si>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</si>
  <si>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</si>
  <si>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</si>
  <si>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</si>
  <si>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</si>
  <si>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</si>
  <si>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</si>
  <si>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</si>
  <si>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</si>
  <si>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</si>
  <si>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</si>
  <si>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</si>
  <si>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</si>
  <si>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</si>
  <si>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</si>
  <si>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</si>
  <si>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</si>
  <si>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</si>
  <si>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</si>
  <si>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</si>
  <si>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</si>
  <si>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</si>
  <si>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</si>
  <si>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</si>
  <si>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</si>
  <si>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</si>
  <si>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</si>
  <si>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</si>
  <si>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</si>
  <si>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</si>
  <si>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</si>
  <si>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</si>
  <si>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</si>
  <si>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</si>
  <si>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</si>
  <si>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</si>
  <si>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</si>
  <si>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</si>
  <si>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</si>
  <si>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</si>
  <si>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</si>
  <si>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</si>
  <si>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</si>
  <si>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</si>
  <si>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</si>
  <si>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</si>
  <si>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</si>
  <si>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</si>
  <si>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</si>
  <si>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</si>
  <si>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</si>
  <si>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</si>
  <si>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</si>
  <si>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</si>
  <si>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</si>
  <si>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</si>
  <si>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</si>
  <si>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</si>
  <si>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</si>
  <si>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</si>
  <si>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</si>
  <si>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</si>
  <si>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</si>
  <si>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</si>
  <si>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</si>
  <si>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</si>
  <si>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</si>
  <si>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</si>
  <si>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</si>
  <si>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</si>
  <si>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</si>
  <si>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</si>
  <si>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</si>
  <si>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</si>
  <si>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</si>
  <si>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</si>
  <si>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</si>
  <si>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</si>
  <si>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</si>
  <si>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</si>
  <si>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</si>
  <si>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</si>
  <si>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</si>
  <si>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</si>
  <si>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</si>
  <si>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</si>
  <si>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</si>
  <si>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</si>
  <si>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</si>
  <si>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</si>
  <si>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</si>
  <si>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</si>
  <si>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</si>
  <si>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</si>
  <si>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</si>
  <si>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</si>
  <si>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</si>
  <si>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</si>
  <si>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</si>
  <si>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</si>
  <si>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</si>
  <si>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</si>
  <si>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</si>
  <si>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</si>
  <si>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</si>
  <si>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</si>
  <si>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</si>
  <si>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</si>
  <si>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</si>
  <si>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</si>
  <si>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</si>
  <si>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</si>
  <si>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</si>
  <si>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</si>
  <si>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</si>
  <si>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</si>
  <si>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</si>
  <si>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</si>
  <si>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</si>
  <si>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</si>
  <si>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</si>
  <si>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</si>
  <si>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</si>
  <si>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</si>
  <si>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</si>
  <si>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</si>
  <si>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</si>
  <si>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</si>
  <si>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</si>
  <si>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</si>
  <si>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</si>
  <si>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</si>
  <si>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</si>
  <si>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</si>
  <si>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</si>
  <si>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</si>
  <si>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</si>
  <si>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</si>
  <si>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</si>
  <si>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</si>
  <si>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</si>
  <si>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</si>
  <si>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</si>
  <si>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</si>
  <si>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</si>
  <si>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</si>
  <si>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</si>
  <si>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</si>
  <si>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</si>
  <si>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</si>
  <si>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</si>
  <si>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</si>
  <si>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</si>
  <si>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</si>
  <si>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</si>
  <si>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</si>
  <si>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</si>
  <si>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</si>
  <si>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</si>
  <si>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</si>
  <si>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</si>
  <si>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</si>
  <si>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</si>
  <si>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</si>
  <si>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</si>
  <si>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</si>
  <si>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</si>
  <si>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</si>
  <si>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</si>
  <si>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</si>
  <si>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</si>
  <si>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</si>
  <si>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</si>
  <si>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</si>
  <si>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</si>
  <si>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</si>
  <si>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</si>
  <si>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</si>
  <si>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</si>
  <si>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</si>
  <si>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</si>
  <si>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</si>
  <si>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</si>
  <si>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</si>
  <si>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</si>
  <si>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</si>
  <si>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</si>
  <si>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</si>
  <si>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</si>
  <si>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</si>
  <si>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</si>
  <si>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</si>
  <si>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</si>
  <si>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</si>
  <si>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</si>
  <si>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</si>
  <si>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</si>
  <si>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</si>
  <si>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</si>
  <si>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</si>
  <si>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</si>
  <si>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</si>
  <si>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</si>
  <si>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</si>
  <si>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</si>
  <si>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</si>
  <si>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</si>
  <si>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</si>
  <si>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</si>
  <si>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</si>
  <si>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</si>
  <si>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</si>
  <si>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</si>
  <si>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</si>
  <si>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</si>
  <si>
    <t>ACT_BND</t>
  </si>
  <si>
    <t>Annual Production Bound</t>
  </si>
  <si>
    <t>ACT_BND~0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</si>
  <si>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</si>
  <si>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</si>
  <si>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</si>
  <si>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</si>
  <si>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</si>
  <si>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</si>
  <si>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</si>
  <si>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</si>
  <si>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</si>
  <si>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</si>
  <si>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</si>
  <si>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</si>
  <si>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</si>
  <si>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</si>
  <si>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</si>
  <si>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>*Region name</t>
  </si>
  <si>
    <t>Attribute</t>
  </si>
  <si>
    <t>*Region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</si>
</sst>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</cellStyleXfs>
  <cellXfs count="621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66" fontId="0" fillId="0" borderId="109" xfId="0" applyNumberFormat="1" applyBorder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56" xfId="129" applyNumberFormat="1" applyFont="1" applyBorder="1" applyAlignment="1">
      <alignment vertical="top"/>
    </xf>
    <xf numFmtId="38" fontId="34" fillId="0" borderId="142" xfId="128" applyNumberFormat="1" applyFont="1" applyBorder="1" applyAlignment="1">
      <alignment horizontal="center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87" xfId="128" applyNumberFormat="1" applyFont="1" applyBorder="1" applyAlignment="1">
      <alignment horizontal="center"/>
    </xf>
    <xf numFmtId="38" fontId="45" fillId="0" borderId="139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38" fontId="34" fillId="0" borderId="94" xfId="128" applyNumberFormat="1" applyFont="1" applyBorder="1" applyAlignment="1">
      <alignment horizontal="left" vertical="top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85" xfId="128" applyNumberFormat="1" applyFont="1" applyBorder="1" applyAlignment="1">
      <alignment horizontal="left" vertical="top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164" fontId="45" fillId="0" borderId="113" xfId="126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34" xfId="129" applyNumberFormat="1" applyFont="1" applyBorder="1" applyAlignment="1">
      <alignment horizontal="left" vertical="top" wrapText="1"/>
    </xf>
    <xf numFmtId="38" fontId="45" fillId="0" borderId="171" xfId="128" applyNumberFormat="1" applyFont="1" applyBorder="1" applyAlignment="1">
      <alignment horizontal="center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</cellXfs>
  <cellStyles count="130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_1990 and 1998 CIP - Prices Quantity and CO2(MH)" xfId="129" xr:uid="{EFB17AEA-D448-4CA7-B843-756946EE0DBB}"/>
    <cellStyle name="Normal_2000balx" xfId="128" xr:uid="{BEE32E4B-5BED-41E4-A34E-86C9FA07E0B4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9"/>
      <c r="B1" s="309"/>
      <c r="C1" s="309"/>
      <c r="D1" s="309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spans="1:26">
      <c r="A2" s="309"/>
      <c r="B2" s="309"/>
      <c r="C2" s="309"/>
      <c r="D2" s="309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spans="1:26">
      <c r="A3" s="309"/>
      <c r="B3" s="309"/>
      <c r="C3" s="309"/>
      <c r="D3" s="309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spans="1:26">
      <c r="A4" s="309"/>
      <c r="B4" s="309"/>
      <c r="C4" s="309"/>
      <c r="D4" s="309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</row>
    <row r="5" spans="1:26">
      <c r="A5" s="309"/>
      <c r="B5" s="309"/>
      <c r="C5" s="309"/>
      <c r="D5" s="309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</row>
    <row r="6" spans="1:26">
      <c r="A6" s="309"/>
      <c r="B6" s="309"/>
      <c r="C6" s="309"/>
      <c r="D6" s="309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</row>
    <row r="7" spans="1:26">
      <c r="A7" s="309"/>
      <c r="B7" s="309"/>
      <c r="C7" s="309"/>
      <c r="D7" s="309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</row>
    <row r="8" spans="1:26">
      <c r="A8" s="309"/>
      <c r="B8" s="309"/>
      <c r="C8" s="309"/>
      <c r="D8" s="309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spans="1:26">
      <c r="A9" s="309"/>
      <c r="B9" s="309"/>
      <c r="C9" s="309"/>
      <c r="D9" s="309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spans="1:26">
      <c r="A10" s="309"/>
      <c r="B10" s="309"/>
      <c r="C10" s="309"/>
      <c r="D10" s="309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</row>
    <row r="11" spans="1:26">
      <c r="A11" s="309"/>
      <c r="B11" s="309"/>
      <c r="C11" s="309"/>
      <c r="D11" s="309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</row>
    <row r="12" spans="1:26">
      <c r="A12" s="309"/>
      <c r="B12" s="309"/>
      <c r="C12" s="309"/>
      <c r="D12" s="309"/>
      <c r="E12" s="310"/>
      <c r="F12" s="310"/>
      <c r="G12" s="310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</row>
    <row r="13" spans="1:26">
      <c r="A13" s="309"/>
      <c r="B13" s="309"/>
      <c r="C13" s="309"/>
      <c r="D13" s="309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</row>
    <row r="14" spans="1:26">
      <c r="A14" s="309"/>
      <c r="B14" s="309"/>
      <c r="C14" s="309"/>
      <c r="D14" s="309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</row>
    <row r="15" spans="1:26">
      <c r="A15" s="309"/>
      <c r="B15" s="309"/>
      <c r="C15" s="309"/>
      <c r="D15" s="309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</row>
    <row r="16" spans="1:26" ht="102.75" customHeight="1">
      <c r="A16" s="601" t="s">
        <v>589</v>
      </c>
      <c r="B16" s="601"/>
      <c r="C16" s="601"/>
      <c r="D16" s="601"/>
      <c r="E16" s="311"/>
      <c r="F16" s="311"/>
      <c r="G16" s="312"/>
      <c r="H16" s="312"/>
      <c r="I16" s="312"/>
      <c r="J16" s="312"/>
      <c r="K16" s="312"/>
      <c r="L16" s="312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</row>
    <row r="17" spans="1:26" ht="17.25" customHeight="1">
      <c r="A17" s="313"/>
      <c r="B17" s="313"/>
      <c r="C17" s="313"/>
      <c r="D17" s="313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</row>
    <row r="18" spans="1:26" ht="17.25" customHeight="1">
      <c r="A18" s="313"/>
      <c r="B18" s="313"/>
      <c r="C18" s="313"/>
      <c r="D18" s="313"/>
      <c r="E18" s="314"/>
      <c r="F18" s="314"/>
      <c r="G18" s="315"/>
      <c r="H18" s="315"/>
      <c r="I18" s="315"/>
      <c r="J18" s="315"/>
      <c r="K18" s="315"/>
      <c r="L18" s="315"/>
      <c r="M18" s="310"/>
      <c r="N18" s="310"/>
      <c r="O18" s="310"/>
      <c r="P18" s="310"/>
      <c r="Q18" s="310"/>
      <c r="R18" s="310"/>
      <c r="S18" s="310"/>
      <c r="T18" s="310"/>
      <c r="U18" s="310"/>
      <c r="V18" s="310"/>
      <c r="W18" s="310"/>
      <c r="X18" s="310"/>
      <c r="Y18" s="310"/>
      <c r="Z18" s="310"/>
    </row>
    <row r="19" spans="1:26" ht="17.25" customHeight="1">
      <c r="A19" s="316" t="s">
        <v>74</v>
      </c>
      <c r="B19" s="600" t="s">
        <v>601</v>
      </c>
      <c r="C19" s="600"/>
      <c r="D19" s="600"/>
      <c r="E19" s="317"/>
      <c r="F19" s="317"/>
      <c r="G19" s="318"/>
      <c r="H19" s="318"/>
      <c r="I19" s="318"/>
      <c r="J19" s="318"/>
      <c r="K19" s="318"/>
      <c r="L19" s="318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</row>
    <row r="20" spans="1:26" ht="17.25" customHeight="1">
      <c r="A20" s="316" t="s">
        <v>590</v>
      </c>
      <c r="B20" s="600" t="s">
        <v>602</v>
      </c>
      <c r="C20" s="600"/>
      <c r="D20" s="600"/>
      <c r="E20" s="317"/>
      <c r="F20" s="317"/>
      <c r="G20" s="318"/>
      <c r="H20" s="318"/>
      <c r="I20" s="318"/>
      <c r="J20" s="318"/>
      <c r="K20" s="318"/>
      <c r="L20" s="318"/>
      <c r="M20" s="310"/>
      <c r="N20" s="310"/>
      <c r="O20" s="310"/>
      <c r="P20" s="310"/>
      <c r="Q20" s="310"/>
      <c r="R20" s="310"/>
      <c r="S20" s="310"/>
      <c r="T20" s="310"/>
      <c r="U20" s="310"/>
      <c r="V20" s="310"/>
      <c r="W20" s="310"/>
      <c r="X20" s="310"/>
      <c r="Y20" s="310"/>
      <c r="Z20" s="310"/>
    </row>
    <row r="21" spans="1:26" ht="17.25" customHeight="1">
      <c r="A21" s="316" t="s">
        <v>591</v>
      </c>
      <c r="B21" s="319" t="s">
        <v>603</v>
      </c>
      <c r="C21" s="319"/>
      <c r="D21" s="319"/>
      <c r="E21" s="317"/>
      <c r="F21" s="317"/>
      <c r="G21" s="318"/>
      <c r="H21" s="318"/>
      <c r="I21" s="318"/>
      <c r="J21" s="318"/>
      <c r="K21" s="318"/>
      <c r="L21" s="318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</row>
    <row r="22" spans="1:26" ht="17.25" customHeight="1">
      <c r="A22" s="316"/>
      <c r="B22" s="319"/>
      <c r="C22" s="319"/>
      <c r="D22" s="319"/>
      <c r="E22" s="317"/>
      <c r="F22" s="317"/>
      <c r="G22" s="318"/>
      <c r="H22" s="318"/>
      <c r="I22" s="318"/>
      <c r="J22" s="318"/>
      <c r="K22" s="318"/>
      <c r="L22" s="318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</row>
    <row r="23" spans="1:26" ht="17.25" customHeight="1">
      <c r="A23" s="316" t="s">
        <v>592</v>
      </c>
      <c r="B23" s="600"/>
      <c r="C23" s="600"/>
      <c r="D23" s="60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</row>
    <row r="24" spans="1:26" ht="17.25" customHeight="1">
      <c r="A24" s="316"/>
      <c r="B24" s="319"/>
      <c r="C24" s="319"/>
      <c r="D24" s="319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</row>
    <row r="25" spans="1:26" ht="17.25" customHeight="1">
      <c r="A25" s="316"/>
      <c r="B25" s="319"/>
      <c r="C25" s="319"/>
      <c r="D25" s="319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</row>
    <row r="26" spans="1:26" ht="17.25" customHeight="1">
      <c r="A26" s="316" t="s">
        <v>593</v>
      </c>
      <c r="B26" s="600" t="s">
        <v>600</v>
      </c>
      <c r="C26" s="600"/>
      <c r="D26" s="60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</row>
    <row r="27" spans="1:26" ht="17.25" customHeight="1">
      <c r="A27" s="316"/>
      <c r="B27" s="319"/>
      <c r="C27" s="319"/>
      <c r="D27" s="319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U27" s="310"/>
      <c r="V27" s="310"/>
      <c r="W27" s="310"/>
      <c r="X27" s="310"/>
      <c r="Y27" s="310"/>
      <c r="Z27" s="310"/>
    </row>
    <row r="28" spans="1:26" ht="17.25" customHeight="1">
      <c r="A28" s="316"/>
      <c r="B28" s="319"/>
      <c r="C28" s="319"/>
      <c r="D28" s="319"/>
      <c r="E28" s="310"/>
      <c r="F28" s="310"/>
      <c r="G28" s="310"/>
      <c r="H28" s="310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10"/>
      <c r="V28" s="310"/>
      <c r="W28" s="310"/>
      <c r="X28" s="310"/>
      <c r="Y28" s="310"/>
      <c r="Z28" s="310"/>
    </row>
    <row r="29" spans="1:26" ht="17.25" customHeight="1">
      <c r="A29" s="316" t="s">
        <v>594</v>
      </c>
      <c r="B29" s="320">
        <v>1</v>
      </c>
      <c r="C29" s="319"/>
      <c r="D29" s="319"/>
      <c r="E29" s="310"/>
      <c r="F29" s="310"/>
      <c r="G29" s="310"/>
      <c r="H29" s="310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</row>
    <row r="30" spans="1:26" ht="17.25" customHeight="1">
      <c r="A30" s="316" t="s">
        <v>595</v>
      </c>
      <c r="B30" s="602" t="s">
        <v>596</v>
      </c>
      <c r="C30" s="600"/>
      <c r="D30" s="600"/>
      <c r="E30" s="321"/>
      <c r="F30" s="321"/>
      <c r="G30" s="310"/>
      <c r="H30" s="310"/>
      <c r="I30" s="310"/>
      <c r="J30" s="310"/>
      <c r="K30" s="310"/>
      <c r="L30" s="310"/>
      <c r="M30" s="310"/>
      <c r="N30" s="310"/>
      <c r="O30" s="310"/>
      <c r="P30" s="310"/>
      <c r="Q30" s="310"/>
      <c r="R30" s="310"/>
      <c r="S30" s="310"/>
      <c r="T30" s="310"/>
      <c r="U30" s="310"/>
      <c r="V30" s="310"/>
      <c r="W30" s="310"/>
      <c r="X30" s="310"/>
      <c r="Y30" s="310"/>
      <c r="Z30" s="310"/>
    </row>
    <row r="31" spans="1:26" ht="17.25" customHeight="1">
      <c r="A31" s="316" t="s">
        <v>597</v>
      </c>
      <c r="B31" s="600" t="s">
        <v>598</v>
      </c>
      <c r="C31" s="600"/>
      <c r="D31" s="600"/>
      <c r="E31" s="321"/>
      <c r="F31" s="321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</row>
    <row r="32" spans="1:26" ht="17.25" customHeight="1">
      <c r="A32" s="322"/>
      <c r="B32" s="323" t="s">
        <v>599</v>
      </c>
      <c r="C32" s="322"/>
      <c r="D32" s="322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</row>
    <row r="33" spans="1:26">
      <c r="A33" s="309"/>
      <c r="B33" s="309"/>
      <c r="C33" s="309"/>
      <c r="D33" s="309"/>
      <c r="E33" s="310"/>
      <c r="F33" s="310"/>
      <c r="G33" s="310"/>
      <c r="H33" s="310"/>
      <c r="I33" s="310"/>
      <c r="J33" s="310"/>
      <c r="K33" s="310"/>
      <c r="L33" s="310"/>
      <c r="M33" s="310"/>
      <c r="N33" s="310"/>
      <c r="O33" s="310"/>
      <c r="P33" s="310"/>
      <c r="Q33" s="310"/>
      <c r="R33" s="310"/>
      <c r="S33" s="310"/>
      <c r="T33" s="310"/>
      <c r="U33" s="310"/>
      <c r="V33" s="310"/>
      <c r="W33" s="310"/>
      <c r="X33" s="310"/>
      <c r="Y33" s="310"/>
      <c r="Z33" s="310"/>
    </row>
    <row r="34" spans="1:26">
      <c r="A34" s="309"/>
      <c r="B34" s="309"/>
      <c r="C34" s="309"/>
      <c r="D34" s="309"/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</row>
    <row r="35" spans="1:26">
      <c r="A35" s="309"/>
      <c r="B35" s="309"/>
      <c r="C35" s="309"/>
      <c r="D35" s="309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</row>
    <row r="36" spans="1:26">
      <c r="A36" s="309"/>
      <c r="B36" s="309"/>
      <c r="C36" s="309"/>
      <c r="D36" s="309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</row>
    <row r="37" spans="1:26">
      <c r="A37" s="309"/>
      <c r="B37" s="309"/>
      <c r="C37" s="309"/>
      <c r="D37" s="309"/>
      <c r="E37" s="310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0"/>
      <c r="Q37" s="310"/>
      <c r="R37" s="310"/>
      <c r="S37" s="310"/>
      <c r="T37" s="310"/>
      <c r="U37" s="310"/>
      <c r="V37" s="310"/>
      <c r="W37" s="310"/>
      <c r="X37" s="310"/>
      <c r="Y37" s="310"/>
      <c r="Z37" s="310"/>
    </row>
    <row r="38" spans="1:26">
      <c r="A38" s="309"/>
      <c r="B38" s="309"/>
      <c r="C38" s="309"/>
      <c r="D38" s="309"/>
      <c r="E38" s="310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/>
      <c r="S38" s="310"/>
      <c r="T38" s="310"/>
      <c r="U38" s="310"/>
      <c r="V38" s="310"/>
      <c r="W38" s="310"/>
      <c r="X38" s="310"/>
      <c r="Y38" s="310"/>
      <c r="Z38" s="310"/>
    </row>
    <row r="39" spans="1:26">
      <c r="A39" s="309"/>
      <c r="B39" s="309"/>
      <c r="C39" s="309"/>
      <c r="D39" s="309"/>
      <c r="E39" s="310"/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0"/>
      <c r="Q39" s="310"/>
      <c r="R39" s="310"/>
      <c r="S39" s="310"/>
      <c r="T39" s="310"/>
      <c r="U39" s="310"/>
      <c r="V39" s="310"/>
      <c r="W39" s="310"/>
      <c r="X39" s="310"/>
      <c r="Y39" s="310"/>
      <c r="Z39" s="310"/>
    </row>
    <row r="40" spans="1:26">
      <c r="A40" s="309"/>
      <c r="B40" s="309"/>
      <c r="C40" s="309"/>
      <c r="D40" s="309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spans="1:26">
      <c r="A41" s="309"/>
      <c r="B41" s="309"/>
      <c r="C41" s="309"/>
      <c r="D41" s="309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spans="1:26">
      <c r="A42" s="309"/>
      <c r="B42" s="309"/>
      <c r="C42" s="309"/>
      <c r="D42" s="309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spans="1:26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spans="1:26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spans="1:26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spans="1:26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spans="1:26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spans="1:26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spans="1:26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spans="1:26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spans="1:26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spans="1:26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spans="1:26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spans="1:26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spans="1:26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spans="1:26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spans="1:26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spans="1:26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spans="1:26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spans="1:26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spans="1:26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spans="1:26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spans="1:26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spans="1:26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spans="1:26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spans="1:26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spans="1:26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spans="1:26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spans="1:26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spans="1:26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spans="1:26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spans="1:26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spans="1:26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spans="1:26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spans="1:26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spans="1:26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spans="1:26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spans="1:26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spans="1:26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spans="1:26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spans="1:26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spans="1:26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spans="1:26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spans="1:26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spans="1:26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spans="1:26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spans="1:26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spans="1:26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spans="1:26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spans="1:26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spans="1:26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spans="1:26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spans="1:26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spans="1:26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spans="1:26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spans="1:26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spans="1:26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spans="1:26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spans="1:26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46" sqref="C46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186</v>
      </c>
      <c r="C3" s="8" t="s">
        <v>185</v>
      </c>
    </row>
    <row r="4" spans="1:3">
      <c r="A4" s="7" t="s">
        <v>75</v>
      </c>
      <c r="B4" s="8" t="s">
        <v>56</v>
      </c>
      <c r="C4" s="5" t="s">
        <v>436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296" t="s">
        <v>564</v>
      </c>
      <c r="B9" s="298" t="s">
        <v>565</v>
      </c>
      <c r="C9" s="299"/>
    </row>
    <row r="10" spans="1:3">
      <c r="A10" s="297" t="s">
        <v>564</v>
      </c>
      <c r="B10" s="298" t="s">
        <v>566</v>
      </c>
      <c r="C10" s="299"/>
    </row>
    <row r="11" spans="1:3">
      <c r="A11" s="290"/>
      <c r="B11" s="298" t="s">
        <v>567</v>
      </c>
      <c r="C11" s="299"/>
    </row>
    <row r="13" spans="1:3" ht="18.75">
      <c r="A13" s="22" t="s">
        <v>99</v>
      </c>
      <c r="B13" s="23"/>
      <c r="C13" s="24"/>
    </row>
    <row r="14" spans="1:3">
      <c r="A14" s="293"/>
      <c r="B14" s="25" t="s">
        <v>100</v>
      </c>
      <c r="C14" s="26"/>
    </row>
    <row r="15" spans="1:3">
      <c r="A15" s="295"/>
      <c r="B15" s="25" t="s">
        <v>562</v>
      </c>
      <c r="C15" s="26"/>
    </row>
    <row r="16" spans="1:3">
      <c r="A16" s="294"/>
      <c r="B16" s="25" t="s">
        <v>563</v>
      </c>
      <c r="C16" s="26"/>
    </row>
    <row r="18" spans="1:3" ht="21">
      <c r="A18" s="3" t="s">
        <v>34</v>
      </c>
    </row>
    <row r="19" spans="1:3">
      <c r="A19" s="292" t="s">
        <v>535</v>
      </c>
      <c r="B19" s="292" t="s">
        <v>536</v>
      </c>
      <c r="C19" s="292" t="s">
        <v>537</v>
      </c>
    </row>
    <row r="20" spans="1:3">
      <c r="A20" s="291" t="s">
        <v>533</v>
      </c>
      <c r="B20" s="187"/>
      <c r="C20" s="187"/>
    </row>
    <row r="21" spans="1:3">
      <c r="A21" s="5" t="s">
        <v>378</v>
      </c>
      <c r="C21" s="5" t="s">
        <v>398</v>
      </c>
    </row>
    <row r="22" spans="1:3">
      <c r="A22" s="10" t="s">
        <v>379</v>
      </c>
      <c r="B22" s="10"/>
      <c r="C22" s="10" t="s">
        <v>43</v>
      </c>
    </row>
    <row r="23" spans="1:3">
      <c r="A23" s="6" t="s">
        <v>157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159</v>
      </c>
      <c r="C26" s="5" t="s">
        <v>35</v>
      </c>
    </row>
    <row r="27" spans="1:3">
      <c r="A27" s="6" t="s">
        <v>495</v>
      </c>
    </row>
    <row r="28" spans="1:3">
      <c r="A28" s="5" t="s">
        <v>380</v>
      </c>
      <c r="C28" s="5" t="s">
        <v>390</v>
      </c>
    </row>
    <row r="29" spans="1:3">
      <c r="A29" s="5" t="s">
        <v>161</v>
      </c>
      <c r="C29" s="5" t="s">
        <v>391</v>
      </c>
    </row>
    <row r="30" spans="1:3">
      <c r="A30" s="5" t="s">
        <v>392</v>
      </c>
      <c r="C30" s="5" t="s">
        <v>393</v>
      </c>
    </row>
    <row r="31" spans="1:3">
      <c r="A31" s="5" t="s">
        <v>394</v>
      </c>
      <c r="C31" s="5" t="s">
        <v>40</v>
      </c>
    </row>
    <row r="32" spans="1:3">
      <c r="A32" s="5" t="s">
        <v>437</v>
      </c>
      <c r="C32" s="5" t="s">
        <v>438</v>
      </c>
    </row>
    <row r="33" spans="1:3">
      <c r="A33" s="5" t="s">
        <v>470</v>
      </c>
      <c r="C33" s="5" t="s">
        <v>44</v>
      </c>
    </row>
    <row r="34" spans="1:3">
      <c r="A34" s="10" t="s">
        <v>471</v>
      </c>
      <c r="B34" s="10"/>
      <c r="C34" s="10" t="s">
        <v>69</v>
      </c>
    </row>
    <row r="35" spans="1:3">
      <c r="A35" s="6" t="s">
        <v>534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383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385</v>
      </c>
      <c r="B44" s="5" t="s">
        <v>384</v>
      </c>
      <c r="C44" s="5" t="str">
        <f t="shared" si="0"/>
        <v>SRVAHT</v>
      </c>
    </row>
    <row r="45" spans="1:3">
      <c r="A45" s="5" t="s">
        <v>587</v>
      </c>
      <c r="B45" s="5" t="s">
        <v>588</v>
      </c>
      <c r="C45" s="5" t="str">
        <f t="shared" si="0"/>
        <v>SRVAHT2</v>
      </c>
    </row>
    <row r="46" spans="1:3">
      <c r="A46" s="5" t="s">
        <v>544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555</v>
      </c>
      <c r="B48" s="5" t="s">
        <v>554</v>
      </c>
      <c r="C48" s="5" t="str">
        <f t="shared" si="0"/>
        <v>SRVH2G</v>
      </c>
    </row>
    <row r="49" spans="1:3">
      <c r="A49" s="5" t="s">
        <v>556</v>
      </c>
      <c r="B49" s="5" t="s">
        <v>557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559</v>
      </c>
      <c r="B51" s="10" t="s">
        <v>560</v>
      </c>
      <c r="C51" s="10" t="str">
        <f t="shared" si="0"/>
        <v>SRVETH</v>
      </c>
    </row>
    <row r="53" spans="1:3" ht="21">
      <c r="A53" s="3" t="s">
        <v>568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3" t="s">
        <v>473</v>
      </c>
      <c r="C55" s="5" t="s">
        <v>569</v>
      </c>
    </row>
    <row r="56" spans="1:3">
      <c r="A56" s="6"/>
      <c r="B56" s="75" t="s">
        <v>178</v>
      </c>
      <c r="C56" s="5" t="s">
        <v>570</v>
      </c>
    </row>
    <row r="57" spans="1:3">
      <c r="A57" s="28" t="s">
        <v>109</v>
      </c>
      <c r="B57" s="63" t="s">
        <v>178</v>
      </c>
      <c r="C57" s="29" t="s">
        <v>179</v>
      </c>
    </row>
    <row r="58" spans="1:3">
      <c r="A58" s="30"/>
      <c r="B58" s="75" t="s">
        <v>122</v>
      </c>
      <c r="C58" s="31" t="s">
        <v>57</v>
      </c>
    </row>
    <row r="59" spans="1:3" ht="14.45" customHeight="1">
      <c r="A59" s="33" t="s">
        <v>110</v>
      </c>
      <c r="B59" s="63" t="s">
        <v>178</v>
      </c>
      <c r="C59" s="5" t="s">
        <v>571</v>
      </c>
    </row>
    <row r="60" spans="1:3" ht="30">
      <c r="A60" s="32"/>
      <c r="B60" s="79" t="s">
        <v>180</v>
      </c>
      <c r="C60" s="79" t="s">
        <v>572</v>
      </c>
    </row>
    <row r="61" spans="1:3">
      <c r="A61" s="64" t="s">
        <v>112</v>
      </c>
      <c r="B61" s="34" t="s">
        <v>181</v>
      </c>
      <c r="C61" s="10" t="s">
        <v>113</v>
      </c>
    </row>
    <row r="64" spans="1:3">
      <c r="A64" s="6" t="s">
        <v>165</v>
      </c>
    </row>
    <row r="65" spans="1:2">
      <c r="A65" s="187" t="s">
        <v>166</v>
      </c>
      <c r="B65" s="188">
        <v>4.1868000000000002E-2</v>
      </c>
    </row>
    <row r="66" spans="1:2">
      <c r="A66" s="10" t="s">
        <v>439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91" t="str" cm="1">
        <f t="array" ref="C3">INDEX(C5:C7,$A$4)</f>
        <v>IE</v>
      </c>
      <c r="D3" s="91" t="str" cm="1">
        <f t="array" ref="D3">INDEX(D5:D7,$A$4)</f>
        <v>National</v>
      </c>
      <c r="E3" s="91" t="str" cm="1">
        <f t="array" ref="E3">INDEX(E5:E7,$A$4)</f>
        <v>IE-CW</v>
      </c>
      <c r="F3" s="91" t="str" cm="1">
        <f t="array" ref="F3">INDEX(F5:F7,$A$4)</f>
        <v>IE-D</v>
      </c>
      <c r="G3" s="91" t="str" cm="1">
        <f t="array" ref="G3">INDEX(G5:G7,$A$4)</f>
        <v>IE-KE</v>
      </c>
      <c r="H3" s="91" t="str" cm="1">
        <f t="array" ref="H3">INDEX(H5:H7,$A$4)</f>
        <v>IE-KK</v>
      </c>
      <c r="I3" s="91" t="str" cm="1">
        <f t="array" ref="I3">INDEX(I5:I7,$A$4)</f>
        <v>IE-LS</v>
      </c>
      <c r="J3" s="91" t="str" cm="1">
        <f t="array" ref="J3">INDEX(J5:J7,$A$4)</f>
        <v>IE-LD</v>
      </c>
      <c r="K3" s="91" t="str" cm="1">
        <f t="array" ref="K3">INDEX(K5:K7,$A$4)</f>
        <v>IE-LH</v>
      </c>
      <c r="L3" s="91" t="str" cm="1">
        <f t="array" ref="L3">INDEX(L5:L7,$A$4)</f>
        <v>IE-MH</v>
      </c>
      <c r="M3" s="91" t="str" cm="1">
        <f t="array" ref="M3">INDEX(M5:M7,$A$4)</f>
        <v>IE-OY</v>
      </c>
      <c r="N3" s="91" t="str" cm="1">
        <f t="array" ref="N3">INDEX(N5:N7,$A$4)</f>
        <v>IE-WH</v>
      </c>
      <c r="O3" s="91" t="str" cm="1">
        <f t="array" ref="O3">INDEX(O5:O7,$A$4)</f>
        <v>IE-WX</v>
      </c>
      <c r="P3" s="91" t="str" cm="1">
        <f t="array" ref="P3">INDEX(P5:P7,$A$4)</f>
        <v>IE-WW</v>
      </c>
      <c r="Q3" s="91" t="str" cm="1">
        <f t="array" ref="Q3">INDEX(Q5:Q7,$A$4)</f>
        <v>IE-CE</v>
      </c>
      <c r="R3" s="91" t="str" cm="1">
        <f t="array" ref="R3">INDEX(R5:R7,$A$4)</f>
        <v>IE-CO</v>
      </c>
      <c r="S3" s="91" t="str" cm="1">
        <f t="array" ref="S3">INDEX(S5:S7,$A$4)</f>
        <v>IE-KY</v>
      </c>
      <c r="T3" s="91" t="str" cm="1">
        <f t="array" ref="T3">INDEX(T5:T7,$A$4)</f>
        <v>IE-LK</v>
      </c>
      <c r="U3" s="91" t="str" cm="1">
        <f t="array" ref="U3">INDEX(U5:U7,$A$4)</f>
        <v>IE-TA</v>
      </c>
      <c r="V3" s="91" t="str" cm="1">
        <f t="array" ref="V3">INDEX(V5:V7,$A$4)</f>
        <v>IE-WD</v>
      </c>
      <c r="W3" s="91" t="str" cm="1">
        <f t="array" ref="W3">INDEX(W5:W7,$A$4)</f>
        <v>IE-G</v>
      </c>
      <c r="X3" s="91" t="str" cm="1">
        <f t="array" ref="X3">INDEX(X5:X7,$A$4)</f>
        <v>IE-LM</v>
      </c>
      <c r="Y3" s="91" t="str" cm="1">
        <f t="array" ref="Y3">INDEX(Y5:Y7,$A$4)</f>
        <v>IE-MO</v>
      </c>
      <c r="Z3" s="91" t="str" cm="1">
        <f t="array" ref="Z3">INDEX(Z5:Z7,$A$4)</f>
        <v>IE-RN</v>
      </c>
      <c r="AA3" s="91" t="str" cm="1">
        <f t="array" ref="AA3">INDEX(AA5:AA7,$A$4)</f>
        <v>IE-SO</v>
      </c>
      <c r="AB3" s="91" t="str" cm="1">
        <f t="array" ref="AB3">INDEX(AB5:AB7,$A$4)</f>
        <v>IE-CN</v>
      </c>
      <c r="AC3" s="91" t="str" cm="1">
        <f t="array" ref="AC3">INDEX(AC5:AC7,$A$4)</f>
        <v>IE-DL</v>
      </c>
      <c r="AD3" s="91" t="str" cm="1">
        <f t="array" ref="AD3">INDEX(AD5:AD7,$A$4)</f>
        <v>IE-MN</v>
      </c>
    </row>
    <row r="4" spans="1:30">
      <c r="A4">
        <v>1</v>
      </c>
    </row>
    <row r="5" spans="1:30">
      <c r="A5" t="s">
        <v>312</v>
      </c>
      <c r="C5" s="92" t="s">
        <v>185</v>
      </c>
      <c r="D5" s="92" t="s">
        <v>313</v>
      </c>
      <c r="E5" s="91" t="str">
        <f>A11</f>
        <v>IE-CW</v>
      </c>
      <c r="F5" s="91" t="str">
        <f>A16</f>
        <v>IE-D</v>
      </c>
      <c r="G5" s="91" t="str">
        <f>A19</f>
        <v>IE-KE</v>
      </c>
      <c r="H5" s="91" t="str">
        <f>A20</f>
        <v>IE-KK</v>
      </c>
      <c r="I5" s="91" t="str">
        <f>A21</f>
        <v>IE-LS</v>
      </c>
      <c r="J5" s="91" t="str">
        <f>A24</f>
        <v>IE-LD</v>
      </c>
      <c r="K5" s="91" t="str">
        <f>A25</f>
        <v>IE-LH</v>
      </c>
      <c r="L5" s="91" t="str">
        <f>A27</f>
        <v>IE-MH</v>
      </c>
      <c r="M5" s="91" t="str">
        <f>A29</f>
        <v>IE-OY</v>
      </c>
      <c r="N5" s="91" t="str">
        <f>A34</f>
        <v>IE-WH</v>
      </c>
      <c r="O5" s="91" t="str">
        <f>A35</f>
        <v>IE-WX</v>
      </c>
      <c r="P5" s="91" t="str">
        <f>A36</f>
        <v>IE-WW</v>
      </c>
      <c r="Q5" s="91" t="str">
        <f>A13</f>
        <v>IE-CE</v>
      </c>
      <c r="R5" s="91" t="str">
        <f>A14</f>
        <v>IE-CO</v>
      </c>
      <c r="S5" s="91" t="str">
        <f>A18</f>
        <v>IE-KY</v>
      </c>
      <c r="T5" s="91" t="str">
        <f>A23</f>
        <v>IE-LK</v>
      </c>
      <c r="U5" s="91" t="str">
        <f>A32</f>
        <v>IE-TA</v>
      </c>
      <c r="V5" s="91" t="str">
        <f>A33</f>
        <v>IE-WD</v>
      </c>
      <c r="W5" s="91" t="str">
        <f>A17</f>
        <v>IE-G</v>
      </c>
      <c r="X5" s="91" t="str">
        <f>A22</f>
        <v>IE-LM</v>
      </c>
      <c r="Y5" s="91" t="str">
        <f>A26</f>
        <v>IE-MO</v>
      </c>
      <c r="Z5" s="91" t="str">
        <f>A30</f>
        <v>IE-RN</v>
      </c>
      <c r="AA5" s="91" t="str">
        <f>A31</f>
        <v>IE-SO</v>
      </c>
      <c r="AB5" s="91" t="str">
        <f>A12</f>
        <v>IE-CN</v>
      </c>
      <c r="AC5" s="91" t="str">
        <f>A15</f>
        <v>IE-DL</v>
      </c>
      <c r="AD5" s="91" t="str">
        <f>A28</f>
        <v>IE-MN</v>
      </c>
    </row>
    <row r="6" spans="1:30">
      <c r="A6" t="s">
        <v>314</v>
      </c>
      <c r="C6" s="91" t="str">
        <f>C5</f>
        <v>IE</v>
      </c>
      <c r="D6" s="91" t="str">
        <f>"*"&amp;D5</f>
        <v>*National</v>
      </c>
      <c r="E6" s="91" t="str">
        <f>"*"&amp;E5</f>
        <v>*IE-CW</v>
      </c>
      <c r="F6" s="91" t="str">
        <f t="shared" ref="F6:AD6" si="0">"*"&amp;F5</f>
        <v>*IE-D</v>
      </c>
      <c r="G6" s="91" t="str">
        <f t="shared" si="0"/>
        <v>*IE-KE</v>
      </c>
      <c r="H6" s="91" t="str">
        <f t="shared" si="0"/>
        <v>*IE-KK</v>
      </c>
      <c r="I6" s="91" t="str">
        <f t="shared" si="0"/>
        <v>*IE-LS</v>
      </c>
      <c r="J6" s="91" t="str">
        <f t="shared" si="0"/>
        <v>*IE-LD</v>
      </c>
      <c r="K6" s="91" t="str">
        <f t="shared" si="0"/>
        <v>*IE-LH</v>
      </c>
      <c r="L6" s="91" t="str">
        <f t="shared" si="0"/>
        <v>*IE-MH</v>
      </c>
      <c r="M6" s="91" t="str">
        <f t="shared" si="0"/>
        <v>*IE-OY</v>
      </c>
      <c r="N6" s="91" t="str">
        <f t="shared" si="0"/>
        <v>*IE-WH</v>
      </c>
      <c r="O6" s="91" t="str">
        <f t="shared" si="0"/>
        <v>*IE-WX</v>
      </c>
      <c r="P6" s="91" t="str">
        <f t="shared" si="0"/>
        <v>*IE-WW</v>
      </c>
      <c r="Q6" s="91" t="str">
        <f t="shared" si="0"/>
        <v>*IE-CE</v>
      </c>
      <c r="R6" s="91" t="str">
        <f t="shared" si="0"/>
        <v>*IE-CO</v>
      </c>
      <c r="S6" s="91" t="str">
        <f t="shared" si="0"/>
        <v>*IE-KY</v>
      </c>
      <c r="T6" s="91" t="str">
        <f t="shared" si="0"/>
        <v>*IE-LK</v>
      </c>
      <c r="U6" s="91" t="str">
        <f t="shared" si="0"/>
        <v>*IE-TA</v>
      </c>
      <c r="V6" s="91" t="str">
        <f t="shared" si="0"/>
        <v>*IE-WD</v>
      </c>
      <c r="W6" s="91" t="str">
        <f t="shared" si="0"/>
        <v>*IE-G</v>
      </c>
      <c r="X6" s="91" t="str">
        <f t="shared" si="0"/>
        <v>*IE-LM</v>
      </c>
      <c r="Y6" s="91" t="str">
        <f t="shared" si="0"/>
        <v>*IE-MO</v>
      </c>
      <c r="Z6" s="91" t="str">
        <f t="shared" si="0"/>
        <v>*IE-RN</v>
      </c>
      <c r="AA6" s="91" t="str">
        <f t="shared" si="0"/>
        <v>*IE-SO</v>
      </c>
      <c r="AB6" s="91" t="str">
        <f t="shared" si="0"/>
        <v>*IE-CN</v>
      </c>
      <c r="AC6" s="91" t="str">
        <f t="shared" si="0"/>
        <v>*IE-DL</v>
      </c>
      <c r="AD6" s="91" t="str">
        <f t="shared" si="0"/>
        <v>*IE-MN</v>
      </c>
    </row>
    <row r="7" spans="1:30">
      <c r="A7" t="s">
        <v>315</v>
      </c>
      <c r="C7" s="91" t="str">
        <f>"*"&amp;C5</f>
        <v>*IE</v>
      </c>
      <c r="D7" s="91" t="str">
        <f>D5</f>
        <v>National</v>
      </c>
      <c r="E7" s="91" t="str">
        <f t="shared" ref="E7:AD7" si="1">E5</f>
        <v>IE-CW</v>
      </c>
      <c r="F7" s="91" t="str">
        <f t="shared" si="1"/>
        <v>IE-D</v>
      </c>
      <c r="G7" s="91" t="str">
        <f t="shared" si="1"/>
        <v>IE-KE</v>
      </c>
      <c r="H7" s="91" t="str">
        <f t="shared" si="1"/>
        <v>IE-KK</v>
      </c>
      <c r="I7" s="91" t="str">
        <f t="shared" si="1"/>
        <v>IE-LS</v>
      </c>
      <c r="J7" s="91" t="str">
        <f t="shared" si="1"/>
        <v>IE-LD</v>
      </c>
      <c r="K7" s="91" t="str">
        <f t="shared" si="1"/>
        <v>IE-LH</v>
      </c>
      <c r="L7" s="91" t="str">
        <f t="shared" si="1"/>
        <v>IE-MH</v>
      </c>
      <c r="M7" s="91" t="str">
        <f t="shared" si="1"/>
        <v>IE-OY</v>
      </c>
      <c r="N7" s="91" t="str">
        <f t="shared" si="1"/>
        <v>IE-WH</v>
      </c>
      <c r="O7" s="91" t="str">
        <f t="shared" si="1"/>
        <v>IE-WX</v>
      </c>
      <c r="P7" s="91" t="str">
        <f t="shared" si="1"/>
        <v>IE-WW</v>
      </c>
      <c r="Q7" s="91" t="str">
        <f t="shared" si="1"/>
        <v>IE-CE</v>
      </c>
      <c r="R7" s="91" t="str">
        <f t="shared" si="1"/>
        <v>IE-CO</v>
      </c>
      <c r="S7" s="91" t="str">
        <f t="shared" si="1"/>
        <v>IE-KY</v>
      </c>
      <c r="T7" s="91" t="str">
        <f t="shared" si="1"/>
        <v>IE-LK</v>
      </c>
      <c r="U7" s="91" t="str">
        <f t="shared" si="1"/>
        <v>IE-TA</v>
      </c>
      <c r="V7" s="91" t="str">
        <f t="shared" si="1"/>
        <v>IE-WD</v>
      </c>
      <c r="W7" s="91" t="str">
        <f t="shared" si="1"/>
        <v>IE-G</v>
      </c>
      <c r="X7" s="91" t="str">
        <f t="shared" si="1"/>
        <v>IE-LM</v>
      </c>
      <c r="Y7" s="91" t="str">
        <f t="shared" si="1"/>
        <v>IE-MO</v>
      </c>
      <c r="Z7" s="91" t="str">
        <f t="shared" si="1"/>
        <v>IE-RN</v>
      </c>
      <c r="AA7" s="91" t="str">
        <f t="shared" si="1"/>
        <v>IE-SO</v>
      </c>
      <c r="AB7" s="91" t="str">
        <f t="shared" si="1"/>
        <v>IE-CN</v>
      </c>
      <c r="AC7" s="91" t="str">
        <f t="shared" si="1"/>
        <v>IE-DL</v>
      </c>
      <c r="AD7" s="91" t="str">
        <f t="shared" si="1"/>
        <v>IE-MN</v>
      </c>
    </row>
    <row r="10" spans="1:30" ht="15.75" thickBot="1">
      <c r="A10" s="93" t="s">
        <v>316</v>
      </c>
      <c r="B10" s="93" t="s">
        <v>317</v>
      </c>
    </row>
    <row r="11" spans="1:30">
      <c r="A11" s="94" t="s">
        <v>318</v>
      </c>
      <c r="B11" s="94" t="s">
        <v>319</v>
      </c>
    </row>
    <row r="12" spans="1:30">
      <c r="A12" s="95" t="s">
        <v>320</v>
      </c>
      <c r="B12" s="95" t="s">
        <v>321</v>
      </c>
    </row>
    <row r="13" spans="1:30">
      <c r="A13" s="95" t="s">
        <v>322</v>
      </c>
      <c r="B13" s="95" t="s">
        <v>323</v>
      </c>
    </row>
    <row r="14" spans="1:30">
      <c r="A14" s="95" t="s">
        <v>324</v>
      </c>
      <c r="B14" s="95" t="s">
        <v>325</v>
      </c>
    </row>
    <row r="15" spans="1:30">
      <c r="A15" s="95" t="s">
        <v>326</v>
      </c>
      <c r="B15" s="95" t="s">
        <v>327</v>
      </c>
    </row>
    <row r="16" spans="1:30">
      <c r="A16" s="95" t="s">
        <v>328</v>
      </c>
      <c r="B16" s="95" t="s">
        <v>329</v>
      </c>
    </row>
    <row r="17" spans="1:2">
      <c r="A17" s="95" t="s">
        <v>330</v>
      </c>
      <c r="B17" s="95" t="s">
        <v>331</v>
      </c>
    </row>
    <row r="18" spans="1:2">
      <c r="A18" s="95" t="s">
        <v>332</v>
      </c>
      <c r="B18" s="95" t="s">
        <v>333</v>
      </c>
    </row>
    <row r="19" spans="1:2">
      <c r="A19" s="95" t="s">
        <v>334</v>
      </c>
      <c r="B19" s="95" t="s">
        <v>335</v>
      </c>
    </row>
    <row r="20" spans="1:2">
      <c r="A20" s="95" t="s">
        <v>336</v>
      </c>
      <c r="B20" s="95" t="s">
        <v>337</v>
      </c>
    </row>
    <row r="21" spans="1:2">
      <c r="A21" s="95" t="s">
        <v>338</v>
      </c>
      <c r="B21" s="95" t="s">
        <v>339</v>
      </c>
    </row>
    <row r="22" spans="1:2">
      <c r="A22" s="95" t="s">
        <v>340</v>
      </c>
      <c r="B22" s="95" t="s">
        <v>341</v>
      </c>
    </row>
    <row r="23" spans="1:2">
      <c r="A23" s="95" t="s">
        <v>342</v>
      </c>
      <c r="B23" s="95" t="s">
        <v>343</v>
      </c>
    </row>
    <row r="24" spans="1:2">
      <c r="A24" s="95" t="s">
        <v>344</v>
      </c>
      <c r="B24" s="95" t="s">
        <v>345</v>
      </c>
    </row>
    <row r="25" spans="1:2">
      <c r="A25" s="95" t="s">
        <v>346</v>
      </c>
      <c r="B25" s="95" t="s">
        <v>347</v>
      </c>
    </row>
    <row r="26" spans="1:2">
      <c r="A26" s="95" t="s">
        <v>348</v>
      </c>
      <c r="B26" s="95" t="s">
        <v>349</v>
      </c>
    </row>
    <row r="27" spans="1:2">
      <c r="A27" s="95" t="s">
        <v>350</v>
      </c>
      <c r="B27" s="95" t="s">
        <v>351</v>
      </c>
    </row>
    <row r="28" spans="1:2">
      <c r="A28" s="95" t="s">
        <v>352</v>
      </c>
      <c r="B28" s="95" t="s">
        <v>353</v>
      </c>
    </row>
    <row r="29" spans="1:2">
      <c r="A29" s="95" t="s">
        <v>354</v>
      </c>
      <c r="B29" s="95" t="s">
        <v>355</v>
      </c>
    </row>
    <row r="30" spans="1:2">
      <c r="A30" s="95" t="s">
        <v>356</v>
      </c>
      <c r="B30" s="95" t="s">
        <v>357</v>
      </c>
    </row>
    <row r="31" spans="1:2">
      <c r="A31" s="95" t="s">
        <v>358</v>
      </c>
      <c r="B31" s="95" t="s">
        <v>359</v>
      </c>
    </row>
    <row r="32" spans="1:2">
      <c r="A32" s="95" t="s">
        <v>360</v>
      </c>
      <c r="B32" s="95" t="s">
        <v>361</v>
      </c>
    </row>
    <row r="33" spans="1:2">
      <c r="A33" s="95" t="s">
        <v>362</v>
      </c>
      <c r="B33" s="95" t="s">
        <v>363</v>
      </c>
    </row>
    <row r="34" spans="1:2">
      <c r="A34" s="95" t="s">
        <v>364</v>
      </c>
      <c r="B34" s="95" t="s">
        <v>365</v>
      </c>
    </row>
    <row r="35" spans="1:2">
      <c r="A35" s="95" t="s">
        <v>366</v>
      </c>
      <c r="B35" s="95" t="s">
        <v>367</v>
      </c>
    </row>
    <row r="36" spans="1:2">
      <c r="A36" s="95" t="s">
        <v>368</v>
      </c>
      <c r="B36" s="95" t="s">
        <v>369</v>
      </c>
    </row>
    <row r="37" spans="1:2">
      <c r="A37" s="96" t="s">
        <v>370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107" customWidth="1"/>
    <col min="45" max="16384" width="8.85546875" style="5"/>
  </cols>
  <sheetData>
    <row r="1" spans="1:44" ht="23.25">
      <c r="B1" s="11" t="s">
        <v>561</v>
      </c>
    </row>
    <row r="2" spans="1:44" customFormat="1"/>
    <row r="3" spans="1:44" s="101" customFormat="1" ht="15" customHeight="1">
      <c r="A3" s="5"/>
      <c r="B3" s="6" t="s">
        <v>371</v>
      </c>
      <c r="C3" s="6" t="s">
        <v>381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8"/>
      <c r="AC3" s="97"/>
      <c r="AD3" s="97"/>
      <c r="AE3" s="97"/>
      <c r="AF3" s="97"/>
      <c r="AG3" s="97"/>
      <c r="AH3" s="97"/>
      <c r="AI3" s="97"/>
      <c r="AJ3" s="97"/>
      <c r="AK3" s="97"/>
      <c r="AL3" s="99"/>
      <c r="AM3" s="97"/>
      <c r="AN3" s="97"/>
      <c r="AO3" s="100"/>
      <c r="AP3" s="100"/>
      <c r="AQ3" s="100"/>
      <c r="AR3" s="100"/>
    </row>
    <row r="4" spans="1:44" ht="45.75" thickBot="1">
      <c r="B4" s="102"/>
      <c r="C4" s="102"/>
      <c r="D4" s="103" t="s">
        <v>189</v>
      </c>
      <c r="E4" s="103" t="s">
        <v>190</v>
      </c>
      <c r="F4" s="103" t="s">
        <v>191</v>
      </c>
      <c r="G4" s="103" t="s">
        <v>192</v>
      </c>
      <c r="H4" s="103" t="s">
        <v>193</v>
      </c>
      <c r="I4" s="103" t="s">
        <v>194</v>
      </c>
      <c r="J4" s="103" t="s">
        <v>195</v>
      </c>
      <c r="K4" s="103" t="s">
        <v>196</v>
      </c>
      <c r="L4" s="103" t="s">
        <v>197</v>
      </c>
      <c r="M4" s="103" t="s">
        <v>198</v>
      </c>
      <c r="N4" s="103" t="s">
        <v>199</v>
      </c>
      <c r="O4" s="103" t="s">
        <v>200</v>
      </c>
      <c r="P4" s="103" t="s">
        <v>201</v>
      </c>
      <c r="Q4" s="103" t="s">
        <v>202</v>
      </c>
      <c r="R4" s="103" t="s">
        <v>203</v>
      </c>
      <c r="S4" s="103" t="s">
        <v>204</v>
      </c>
      <c r="T4" s="103" t="s">
        <v>205</v>
      </c>
      <c r="U4" s="103" t="s">
        <v>206</v>
      </c>
      <c r="V4" s="103" t="s">
        <v>207</v>
      </c>
      <c r="W4" s="103" t="s">
        <v>208</v>
      </c>
      <c r="X4" s="103" t="s">
        <v>209</v>
      </c>
      <c r="Y4" s="103" t="s">
        <v>210</v>
      </c>
      <c r="Z4" s="103" t="s">
        <v>211</v>
      </c>
      <c r="AA4" s="103" t="s">
        <v>212</v>
      </c>
      <c r="AB4" s="103" t="s">
        <v>213</v>
      </c>
      <c r="AC4" s="103" t="s">
        <v>214</v>
      </c>
      <c r="AD4" s="103" t="s">
        <v>215</v>
      </c>
      <c r="AE4" s="103" t="s">
        <v>216</v>
      </c>
      <c r="AF4" s="103" t="s">
        <v>217</v>
      </c>
      <c r="AG4" s="103" t="s">
        <v>218</v>
      </c>
      <c r="AH4" s="103" t="s">
        <v>219</v>
      </c>
      <c r="AI4" s="103" t="s">
        <v>220</v>
      </c>
      <c r="AJ4" s="103" t="s">
        <v>221</v>
      </c>
      <c r="AK4" s="103" t="s">
        <v>222</v>
      </c>
      <c r="AL4" s="103" t="s">
        <v>223</v>
      </c>
      <c r="AM4" s="103" t="s">
        <v>224</v>
      </c>
      <c r="AN4" s="103" t="s">
        <v>225</v>
      </c>
      <c r="AO4" s="103" t="s">
        <v>226</v>
      </c>
      <c r="AP4" s="103" t="s">
        <v>227</v>
      </c>
      <c r="AQ4" s="103" t="s">
        <v>228</v>
      </c>
      <c r="AR4" s="103" t="s">
        <v>229</v>
      </c>
    </row>
    <row r="5" spans="1:44" s="101" customFormat="1" ht="30" customHeight="1">
      <c r="B5" s="114" t="s">
        <v>56</v>
      </c>
      <c r="C5" s="124"/>
      <c r="D5" s="118">
        <f>'EB2018'!C57</f>
        <v>0.51992180451127823</v>
      </c>
      <c r="E5" s="118">
        <f>'EB2018'!D57</f>
        <v>0.51992180451127823</v>
      </c>
      <c r="F5" s="118">
        <f>'EB2018'!E57</f>
        <v>0</v>
      </c>
      <c r="G5" s="118">
        <f>'EB2018'!F57</f>
        <v>0</v>
      </c>
      <c r="H5" s="118">
        <f>'EB2018'!G57</f>
        <v>0</v>
      </c>
      <c r="I5" s="118">
        <f>'EB2018'!H57</f>
        <v>0</v>
      </c>
      <c r="J5" s="118">
        <f>'EB2018'!I57</f>
        <v>0</v>
      </c>
      <c r="K5" s="118">
        <f>'EB2018'!J57</f>
        <v>0</v>
      </c>
      <c r="L5" s="118">
        <f>'EB2018'!K57</f>
        <v>0</v>
      </c>
      <c r="M5" s="118">
        <f>'EB2018'!L57</f>
        <v>240.86725727408077</v>
      </c>
      <c r="N5" s="118">
        <f>'EB2018'!M57</f>
        <v>0</v>
      </c>
      <c r="O5" s="118">
        <f>'EB2018'!N57</f>
        <v>0</v>
      </c>
      <c r="P5" s="118">
        <f>'EB2018'!O57</f>
        <v>0</v>
      </c>
      <c r="Q5" s="118">
        <f>'EB2018'!P57</f>
        <v>0</v>
      </c>
      <c r="R5" s="118">
        <f>'EB2018'!Q57</f>
        <v>62.827000000000005</v>
      </c>
      <c r="S5" s="118">
        <f>'EB2018'!R57</f>
        <v>0</v>
      </c>
      <c r="T5" s="118">
        <f>'EB2018'!S57</f>
        <v>0.64284746861564912</v>
      </c>
      <c r="U5" s="118">
        <f>'EB2018'!T57</f>
        <v>70.524409805465098</v>
      </c>
      <c r="V5" s="118">
        <f>'EB2018'!U57</f>
        <v>106.87300000000002</v>
      </c>
      <c r="W5" s="118">
        <f>'EB2018'!V57</f>
        <v>0</v>
      </c>
      <c r="X5" s="118">
        <f>'EB2018'!W57</f>
        <v>0</v>
      </c>
      <c r="Y5" s="118">
        <f>'EB2018'!X57</f>
        <v>0</v>
      </c>
      <c r="Z5" s="118">
        <f>'EB2018'!Y57</f>
        <v>0</v>
      </c>
      <c r="AA5" s="118">
        <f>'EB2018'!Z57</f>
        <v>0</v>
      </c>
      <c r="AB5" s="118">
        <f>'EB2018'!AA57</f>
        <v>328.6198962047896</v>
      </c>
      <c r="AC5" s="118">
        <f>'EB2018'!AB57</f>
        <v>39.433814247868156</v>
      </c>
      <c r="AD5" s="118">
        <f>'EB2018'!AC57</f>
        <v>0</v>
      </c>
      <c r="AE5" s="118">
        <f>'EB2018'!AD57</f>
        <v>0</v>
      </c>
      <c r="AF5" s="118">
        <f>'EB2018'!AE57</f>
        <v>17.99312324724</v>
      </c>
      <c r="AG5" s="118">
        <f>'EB2018'!AF57</f>
        <v>0</v>
      </c>
      <c r="AH5" s="118">
        <f>'EB2018'!AG57</f>
        <v>0</v>
      </c>
      <c r="AI5" s="118">
        <f>'EB2018'!AH57</f>
        <v>5.621744734795584</v>
      </c>
      <c r="AJ5" s="118">
        <f>'EB2018'!AI57</f>
        <v>0</v>
      </c>
      <c r="AK5" s="118">
        <f>'EB2018'!AJ57</f>
        <v>0</v>
      </c>
      <c r="AL5" s="118">
        <f>'EB2018'!AK57</f>
        <v>0</v>
      </c>
      <c r="AM5" s="118">
        <f>'EB2018'!AL57</f>
        <v>0.16649466165720572</v>
      </c>
      <c r="AN5" s="118">
        <f>'EB2018'!AM57</f>
        <v>15.65245160417537</v>
      </c>
      <c r="AO5" s="118">
        <f>'EB2018'!AN57</f>
        <v>0</v>
      </c>
      <c r="AP5" s="118">
        <f>'EB2018'!AO57</f>
        <v>1078.743765043014</v>
      </c>
      <c r="AQ5" s="118">
        <f>'EB2018'!AP57</f>
        <v>0</v>
      </c>
      <c r="AR5" s="118">
        <f>'EB2018'!AQ57</f>
        <v>1688.184654574264</v>
      </c>
    </row>
    <row r="6" spans="1:44" s="101" customFormat="1" ht="30" customHeight="1">
      <c r="B6" s="144" t="s">
        <v>378</v>
      </c>
      <c r="D6" s="119">
        <f>'EB2018'!C58</f>
        <v>0.5149225563909775</v>
      </c>
      <c r="E6" s="119">
        <f>'EB2018'!D58</f>
        <v>0.5149225563909775</v>
      </c>
      <c r="F6" s="119">
        <f>'EB2018'!E58</f>
        <v>0</v>
      </c>
      <c r="G6" s="119">
        <f>'EB2018'!F58</f>
        <v>0</v>
      </c>
      <c r="H6" s="119">
        <f>'EB2018'!G58</f>
        <v>0</v>
      </c>
      <c r="I6" s="119">
        <f>'EB2018'!H58</f>
        <v>0</v>
      </c>
      <c r="J6" s="119">
        <f>'EB2018'!I58</f>
        <v>0</v>
      </c>
      <c r="K6" s="119">
        <f>'EB2018'!J58</f>
        <v>0</v>
      </c>
      <c r="L6" s="119">
        <f>'EB2018'!K58</f>
        <v>0</v>
      </c>
      <c r="M6" s="119">
        <f>'EB2018'!L58</f>
        <v>109.16310972047087</v>
      </c>
      <c r="N6" s="119">
        <f>'EB2018'!M58</f>
        <v>0</v>
      </c>
      <c r="O6" s="119">
        <f>'EB2018'!N58</f>
        <v>0</v>
      </c>
      <c r="P6" s="119">
        <f>'EB2018'!O58</f>
        <v>0</v>
      </c>
      <c r="Q6" s="119">
        <f>'EB2018'!P58</f>
        <v>0</v>
      </c>
      <c r="R6" s="119">
        <f>'EB2018'!Q58</f>
        <v>15.841000000000001</v>
      </c>
      <c r="S6" s="119">
        <f>'EB2018'!R58</f>
        <v>0</v>
      </c>
      <c r="T6" s="119">
        <f>'EB2018'!S58</f>
        <v>0</v>
      </c>
      <c r="U6" s="119">
        <f>'EB2018'!T58</f>
        <v>41.074109720470858</v>
      </c>
      <c r="V6" s="119">
        <f>'EB2018'!U58</f>
        <v>52.248000000000012</v>
      </c>
      <c r="W6" s="119">
        <f>'EB2018'!V58</f>
        <v>0</v>
      </c>
      <c r="X6" s="119">
        <f>'EB2018'!W58</f>
        <v>0</v>
      </c>
      <c r="Y6" s="119">
        <f>'EB2018'!X58</f>
        <v>0</v>
      </c>
      <c r="Z6" s="119">
        <f>'EB2018'!Y58</f>
        <v>0</v>
      </c>
      <c r="AA6" s="119">
        <f>'EB2018'!Z58</f>
        <v>0</v>
      </c>
      <c r="AB6" s="119">
        <f>'EB2018'!AA58</f>
        <v>206.51565457653467</v>
      </c>
      <c r="AC6" s="119">
        <f>'EB2018'!AB58</f>
        <v>20.523795887314584</v>
      </c>
      <c r="AD6" s="119">
        <f>'EB2018'!AC58</f>
        <v>0</v>
      </c>
      <c r="AE6" s="119">
        <f>'EB2018'!AD58</f>
        <v>0</v>
      </c>
      <c r="AF6" s="119">
        <f>'EB2018'!AE58</f>
        <v>3.9004188670820072</v>
      </c>
      <c r="AG6" s="119">
        <f>'EB2018'!AF58</f>
        <v>0</v>
      </c>
      <c r="AH6" s="119">
        <f>'EB2018'!AG58</f>
        <v>0</v>
      </c>
      <c r="AI6" s="119">
        <f>'EB2018'!AH58</f>
        <v>0.80443075440000011</v>
      </c>
      <c r="AJ6" s="119">
        <f>'EB2018'!AI58</f>
        <v>0</v>
      </c>
      <c r="AK6" s="119">
        <f>'EB2018'!AJ58</f>
        <v>0</v>
      </c>
      <c r="AL6" s="119">
        <f>'EB2018'!AK58</f>
        <v>0</v>
      </c>
      <c r="AM6" s="119">
        <f>'EB2018'!AL58</f>
        <v>0.16649466165720572</v>
      </c>
      <c r="AN6" s="119">
        <f>'EB2018'!AM58</f>
        <v>15.65245160417537</v>
      </c>
      <c r="AO6" s="119">
        <f>'EB2018'!AN58</f>
        <v>0</v>
      </c>
      <c r="AP6" s="119">
        <f>'EB2018'!AO58</f>
        <v>828.90452168344279</v>
      </c>
      <c r="AQ6" s="119">
        <f>'EB2018'!AP58</f>
        <v>0</v>
      </c>
      <c r="AR6" s="119">
        <f>'EB2018'!AQ58</f>
        <v>1165.6220044241538</v>
      </c>
    </row>
    <row r="7" spans="1:44" s="101" customFormat="1" ht="30" customHeight="1">
      <c r="B7" s="145" t="s">
        <v>379</v>
      </c>
      <c r="C7" s="117"/>
      <c r="D7" s="120">
        <f>'EB2018'!C65</f>
        <v>4.9992481203007515E-3</v>
      </c>
      <c r="E7" s="120">
        <f>'EB2018'!D65</f>
        <v>4.9992481203007515E-3</v>
      </c>
      <c r="F7" s="120">
        <f>'EB2018'!E65</f>
        <v>0</v>
      </c>
      <c r="G7" s="120">
        <f>'EB2018'!F65</f>
        <v>0</v>
      </c>
      <c r="H7" s="120">
        <f>'EB2018'!G65</f>
        <v>0</v>
      </c>
      <c r="I7" s="120">
        <f>'EB2018'!H65</f>
        <v>0</v>
      </c>
      <c r="J7" s="120">
        <f>'EB2018'!I65</f>
        <v>0</v>
      </c>
      <c r="K7" s="120">
        <f>'EB2018'!J65</f>
        <v>0</v>
      </c>
      <c r="L7" s="120">
        <f>'EB2018'!K65</f>
        <v>0</v>
      </c>
      <c r="M7" s="120">
        <f>'EB2018'!L65</f>
        <v>131.70414755360989</v>
      </c>
      <c r="N7" s="120">
        <f>'EB2018'!M65</f>
        <v>0</v>
      </c>
      <c r="O7" s="120">
        <f>'EB2018'!N65</f>
        <v>0</v>
      </c>
      <c r="P7" s="120">
        <f>'EB2018'!O65</f>
        <v>0</v>
      </c>
      <c r="Q7" s="120">
        <f>'EB2018'!P65</f>
        <v>0</v>
      </c>
      <c r="R7" s="120">
        <f>'EB2018'!Q65</f>
        <v>46.986000000000004</v>
      </c>
      <c r="S7" s="120">
        <f>'EB2018'!R65</f>
        <v>0</v>
      </c>
      <c r="T7" s="120">
        <f>'EB2018'!S65</f>
        <v>0.64284746861564912</v>
      </c>
      <c r="U7" s="120">
        <f>'EB2018'!T65</f>
        <v>29.45030008499424</v>
      </c>
      <c r="V7" s="120">
        <f>'EB2018'!U65</f>
        <v>54.625</v>
      </c>
      <c r="W7" s="120">
        <f>'EB2018'!V65</f>
        <v>0</v>
      </c>
      <c r="X7" s="120">
        <f>'EB2018'!W65</f>
        <v>0</v>
      </c>
      <c r="Y7" s="120">
        <f>'EB2018'!X65</f>
        <v>0</v>
      </c>
      <c r="Z7" s="120">
        <f>'EB2018'!Y65</f>
        <v>0</v>
      </c>
      <c r="AA7" s="120">
        <f>'EB2018'!Z65</f>
        <v>0</v>
      </c>
      <c r="AB7" s="120">
        <f>'EB2018'!AA65</f>
        <v>122.10424162825494</v>
      </c>
      <c r="AC7" s="120">
        <f>'EB2018'!AB65</f>
        <v>18.910018360553575</v>
      </c>
      <c r="AD7" s="120">
        <f>'EB2018'!AC65</f>
        <v>0</v>
      </c>
      <c r="AE7" s="120">
        <f>'EB2018'!AD65</f>
        <v>0</v>
      </c>
      <c r="AF7" s="120">
        <f>'EB2018'!AE65</f>
        <v>14.092704380157992</v>
      </c>
      <c r="AG7" s="120">
        <f>'EB2018'!AF65</f>
        <v>0</v>
      </c>
      <c r="AH7" s="120">
        <f>'EB2018'!AG65</f>
        <v>0</v>
      </c>
      <c r="AI7" s="120">
        <f>'EB2018'!AH65</f>
        <v>4.8173139803955838</v>
      </c>
      <c r="AJ7" s="120">
        <f>'EB2018'!AI65</f>
        <v>0</v>
      </c>
      <c r="AK7" s="120">
        <f>'EB2018'!AJ65</f>
        <v>0</v>
      </c>
      <c r="AL7" s="120">
        <f>'EB2018'!AK65</f>
        <v>0</v>
      </c>
      <c r="AM7" s="120">
        <f>'EB2018'!AL65</f>
        <v>0</v>
      </c>
      <c r="AN7" s="120">
        <f>'EB2018'!AM65</f>
        <v>0</v>
      </c>
      <c r="AO7" s="120">
        <f>'EB2018'!AN65</f>
        <v>0</v>
      </c>
      <c r="AP7" s="120">
        <f>'EB2018'!AO65</f>
        <v>249.83924335957121</v>
      </c>
      <c r="AQ7" s="120">
        <f>'EB2018'!AP65</f>
        <v>0</v>
      </c>
      <c r="AR7" s="120">
        <f>'EB2018'!AQ65</f>
        <v>522.5626501501099</v>
      </c>
    </row>
    <row r="8" spans="1:44" s="101" customFormat="1" ht="15.75" customHeight="1">
      <c r="A8" s="104"/>
      <c r="B8" s="104"/>
      <c r="C8" s="104"/>
      <c r="D8" s="105"/>
      <c r="E8" s="105"/>
      <c r="F8" s="105"/>
      <c r="G8" s="105"/>
      <c r="H8" s="105"/>
      <c r="I8" s="105"/>
      <c r="J8" s="105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0"/>
      <c r="AQ8" s="100"/>
      <c r="AR8" s="100"/>
    </row>
    <row r="9" spans="1:44" s="101" customFormat="1" ht="15.75" customHeight="1">
      <c r="A9" s="104" t="s">
        <v>372</v>
      </c>
      <c r="B9" s="104"/>
      <c r="C9" s="104"/>
      <c r="D9" s="105"/>
      <c r="E9" s="105"/>
      <c r="F9" s="105"/>
      <c r="G9" s="105"/>
      <c r="H9" s="105"/>
      <c r="I9" s="105"/>
      <c r="J9" s="105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0"/>
      <c r="AQ9" s="100"/>
      <c r="AR9" s="100"/>
    </row>
    <row r="10" spans="1:44">
      <c r="B10" s="6" t="s">
        <v>373</v>
      </c>
      <c r="C10" s="6" t="s">
        <v>382</v>
      </c>
      <c r="AP10" s="5"/>
      <c r="AQ10" s="5"/>
      <c r="AR10" s="5"/>
    </row>
    <row r="11" spans="1:44" s="108" customFormat="1" ht="15.75" thickBot="1">
      <c r="B11" s="109"/>
      <c r="C11" s="109"/>
      <c r="D11" s="110" t="str">
        <f>Legend!$A$36</f>
        <v>Solids</v>
      </c>
      <c r="E11" s="110" t="str">
        <f>Legend!$A$37</f>
        <v>LPG</v>
      </c>
      <c r="F11" s="110" t="str">
        <f>Legend!$A$38</f>
        <v>Oil</v>
      </c>
      <c r="G11" s="110" t="str">
        <f>Legend!$A$39</f>
        <v>Natural Gas</v>
      </c>
      <c r="H11" s="110" t="str">
        <f>Legend!$A$40</f>
        <v>Biomass</v>
      </c>
      <c r="I11" s="110" t="str">
        <f>Legend!$A$41</f>
        <v>Biogas</v>
      </c>
      <c r="J11" s="110" t="str">
        <f>Legend!$A$42</f>
        <v>Solar</v>
      </c>
      <c r="K11" s="110" t="str">
        <f>Legend!$A$43</f>
        <v>Electricity</v>
      </c>
      <c r="L11" s="110" t="str">
        <f>Legend!$A$44</f>
        <v>Ambient Heat</v>
      </c>
      <c r="M11" s="110" t="s">
        <v>145</v>
      </c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</row>
    <row r="12" spans="1:44">
      <c r="B12" s="114" t="s">
        <v>56</v>
      </c>
      <c r="C12" s="115"/>
      <c r="D12" s="122">
        <f>SUM(D5,I5)*Legend!$B$65</f>
        <v>2.1768086111278197E-2</v>
      </c>
      <c r="E12" s="122">
        <f>U5*Legend!$B$65</f>
        <v>2.9527159897352129</v>
      </c>
      <c r="F12" s="122">
        <f>SUM(R5,T5,V5)*Legend!$B$65</f>
        <v>7.131914337816001</v>
      </c>
      <c r="G12" s="122">
        <f>AB5*Legend!$B$65</f>
        <v>13.758657814302131</v>
      </c>
      <c r="H12" s="122">
        <f>AF5*Legend!$B$65</f>
        <v>0.75333608411544439</v>
      </c>
      <c r="I12" s="122">
        <f>AI5*Legend!$B$65</f>
        <v>0.23537120855642152</v>
      </c>
      <c r="J12" s="122">
        <f>AM5*Legend!$B$65</f>
        <v>6.9707984942638896E-3</v>
      </c>
      <c r="K12" s="122">
        <f>AP5*Legend!$B$65</f>
        <v>45.164843954820917</v>
      </c>
      <c r="L12" s="122">
        <f>AN5*Legend!$B$65</f>
        <v>0.65533684376361445</v>
      </c>
      <c r="M12" s="122">
        <f>SUM(D12:L12)</f>
        <v>70.680915117715301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4" t="str">
        <f>Legend!$A$21</f>
        <v>Commercial Services</v>
      </c>
      <c r="D13" s="121">
        <f>SUM(D6,I6)*Legend!$B$65</f>
        <v>2.1558777590977449E-2</v>
      </c>
      <c r="E13" s="121">
        <f>U6*Legend!$B$65</f>
        <v>1.7196908257766741</v>
      </c>
      <c r="F13" s="121">
        <f>SUM(R6,T6,V6)*Legend!$B$65</f>
        <v>2.8507502520000005</v>
      </c>
      <c r="G13" s="121">
        <f>AB6*Legend!$B$65</f>
        <v>8.6463974258103544</v>
      </c>
      <c r="H13" s="121">
        <f>AF6*Legend!$B$65</f>
        <v>0.16330273712698948</v>
      </c>
      <c r="I13" s="121">
        <f>AI6*Legend!$B$65</f>
        <v>3.3679906825219208E-2</v>
      </c>
      <c r="J13" s="121">
        <f>AM6*Legend!$B$65</f>
        <v>6.9707984942638896E-3</v>
      </c>
      <c r="K13" s="121">
        <f>AP6*Legend!$B$65</f>
        <v>34.704574513842388</v>
      </c>
      <c r="L13" s="121">
        <f>AN6*Legend!$B$65</f>
        <v>0.65533684376361445</v>
      </c>
      <c r="M13" s="122">
        <f>SUM(D13:L13)</f>
        <v>48.802262081230481</v>
      </c>
      <c r="N13" s="5"/>
      <c r="O13" s="5"/>
      <c r="Q13" s="121"/>
      <c r="AP13" s="5"/>
      <c r="AQ13" s="5"/>
      <c r="AR13" s="5"/>
    </row>
    <row r="14" spans="1:44">
      <c r="B14" s="186" t="str">
        <f>Legend!$A$32</f>
        <v>Data centers</v>
      </c>
      <c r="D14" s="205"/>
      <c r="E14" s="205"/>
      <c r="F14" s="205"/>
      <c r="G14" s="205"/>
      <c r="H14" s="205"/>
      <c r="I14" s="205"/>
      <c r="J14" s="205"/>
      <c r="K14" s="218">
        <f>'Key Inputs'!$I$114</f>
        <v>5.6291760000000002</v>
      </c>
      <c r="L14" s="205"/>
      <c r="M14" s="206">
        <f>SUM(D14:L14)</f>
        <v>5.6291760000000002</v>
      </c>
      <c r="N14" s="5"/>
      <c r="O14" s="5"/>
      <c r="Q14" s="121"/>
      <c r="AP14" s="5"/>
      <c r="AQ14" s="5"/>
      <c r="AR14" s="5"/>
    </row>
    <row r="15" spans="1:44">
      <c r="B15" s="184" t="str">
        <f>Legend!$A$22</f>
        <v>Public Services</v>
      </c>
      <c r="D15" s="121">
        <f>SUM(D7,I7)*Legend!$B$65</f>
        <v>2.0930852030075187E-4</v>
      </c>
      <c r="E15" s="121">
        <f>U7*Legend!$B$65</f>
        <v>1.2330251639585388</v>
      </c>
      <c r="F15" s="121">
        <f>SUM(R7,T7,V7)*Legend!$B$65</f>
        <v>4.2811640858160001</v>
      </c>
      <c r="G15" s="121">
        <f>AB7*Legend!$B$65</f>
        <v>5.1122603884917783</v>
      </c>
      <c r="H15" s="121">
        <f>AF7*Legend!$B$65</f>
        <v>0.59003334698845478</v>
      </c>
      <c r="I15" s="121">
        <f>AI7*Legend!$B$65</f>
        <v>0.20169130173120231</v>
      </c>
      <c r="J15" s="121">
        <f>AM7*Legend!$B$65</f>
        <v>0</v>
      </c>
      <c r="K15" s="121">
        <f>AP7*Legend!$B$65</f>
        <v>10.460269440978529</v>
      </c>
      <c r="L15" s="121">
        <f>AN7*Legend!$B$65</f>
        <v>0</v>
      </c>
      <c r="M15" s="122">
        <f>SUM(D15:L15)</f>
        <v>21.878653036484803</v>
      </c>
      <c r="O15" s="5"/>
      <c r="AP15" s="5"/>
      <c r="AQ15" s="5"/>
      <c r="AR15" s="5"/>
    </row>
    <row r="16" spans="1:44">
      <c r="B16" s="189" t="str">
        <f>Legend!$A$33</f>
        <v>Public lighting</v>
      </c>
      <c r="C16" s="10"/>
      <c r="D16" s="207"/>
      <c r="E16" s="207"/>
      <c r="F16" s="207"/>
      <c r="G16" s="207"/>
      <c r="H16" s="207"/>
      <c r="I16" s="207"/>
      <c r="J16" s="207"/>
      <c r="K16" s="219">
        <f>'Public SEAI'!C29*Legend!$B$66</f>
        <v>1.4472</v>
      </c>
      <c r="L16" s="207"/>
      <c r="M16" s="208">
        <f>SUM(D16:L16)</f>
        <v>1.4472</v>
      </c>
      <c r="O16" s="5"/>
      <c r="AP16" s="5"/>
      <c r="AQ16" s="5"/>
      <c r="AR16" s="5"/>
    </row>
    <row r="17" spans="2:44">
      <c r="B17" s="184" t="str">
        <f>Legend!$A$21&amp;" (excl. "&amp;B14&amp;")"</f>
        <v>Commercial Services (excl. Data centers)</v>
      </c>
      <c r="D17" s="121">
        <f>D13-D14</f>
        <v>2.1558777590977449E-2</v>
      </c>
      <c r="E17" s="121">
        <f t="shared" ref="E17:M17" si="0">E13-E14</f>
        <v>1.7196908257766741</v>
      </c>
      <c r="F17" s="121">
        <f t="shared" si="0"/>
        <v>2.8507502520000005</v>
      </c>
      <c r="G17" s="121">
        <f t="shared" si="0"/>
        <v>8.6463974258103544</v>
      </c>
      <c r="H17" s="121">
        <f t="shared" si="0"/>
        <v>0.16330273712698948</v>
      </c>
      <c r="I17" s="121">
        <f t="shared" si="0"/>
        <v>3.3679906825219208E-2</v>
      </c>
      <c r="J17" s="121">
        <f t="shared" si="0"/>
        <v>6.9707984942638896E-3</v>
      </c>
      <c r="K17" s="121">
        <f t="shared" si="0"/>
        <v>29.075398513842387</v>
      </c>
      <c r="L17" s="121">
        <f t="shared" si="0"/>
        <v>0.65533684376361445</v>
      </c>
      <c r="M17" s="122">
        <f t="shared" si="0"/>
        <v>43.17308608123048</v>
      </c>
      <c r="O17" s="5"/>
      <c r="AP17" s="5"/>
      <c r="AQ17" s="5"/>
      <c r="AR17" s="5"/>
    </row>
    <row r="18" spans="2:44">
      <c r="B18" s="185" t="str">
        <f>Legend!$A$22&amp;" (excl. "&amp;B16&amp;")"</f>
        <v>Public Services (excl. Public lighting)</v>
      </c>
      <c r="C18" s="10"/>
      <c r="D18" s="209">
        <f>D15-D16</f>
        <v>2.0930852030075187E-4</v>
      </c>
      <c r="E18" s="209">
        <f t="shared" ref="E18:M18" si="1">E15-E16</f>
        <v>1.2330251639585388</v>
      </c>
      <c r="F18" s="209">
        <f t="shared" si="1"/>
        <v>4.2811640858160001</v>
      </c>
      <c r="G18" s="209">
        <f t="shared" si="1"/>
        <v>5.1122603884917783</v>
      </c>
      <c r="H18" s="209">
        <f t="shared" si="1"/>
        <v>0.59003334698845478</v>
      </c>
      <c r="I18" s="209">
        <f t="shared" si="1"/>
        <v>0.20169130173120231</v>
      </c>
      <c r="J18" s="209">
        <f t="shared" si="1"/>
        <v>0</v>
      </c>
      <c r="K18" s="209">
        <f t="shared" si="1"/>
        <v>9.0130694409785281</v>
      </c>
      <c r="L18" s="209">
        <f t="shared" si="1"/>
        <v>0</v>
      </c>
      <c r="M18" s="123">
        <f t="shared" si="1"/>
        <v>20.431453036484804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374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102" t="s">
        <v>376</v>
      </c>
      <c r="C22" s="102" t="s">
        <v>158</v>
      </c>
      <c r="D22" s="12" t="s">
        <v>81</v>
      </c>
      <c r="E22" s="12" t="s">
        <v>386</v>
      </c>
      <c r="F22" s="103" t="s">
        <v>396</v>
      </c>
      <c r="G22" s="110" t="s">
        <v>83</v>
      </c>
      <c r="AP22" s="5"/>
      <c r="AQ22" s="5"/>
      <c r="AR22" s="5"/>
    </row>
    <row r="23" spans="2:44" ht="15.75" thickBot="1">
      <c r="B23" s="224" t="s">
        <v>475</v>
      </c>
      <c r="C23" s="6"/>
      <c r="D23" s="15"/>
      <c r="E23" s="15"/>
      <c r="F23" s="139" t="s">
        <v>178</v>
      </c>
      <c r="G23" s="125"/>
      <c r="AP23" s="5"/>
      <c r="AQ23" s="5"/>
      <c r="AR23" s="5"/>
    </row>
    <row r="24" spans="2:44">
      <c r="B24" s="130"/>
      <c r="C24" s="130"/>
      <c r="D24" s="69"/>
      <c r="E24" s="69"/>
      <c r="F24" s="142" t="s">
        <v>132</v>
      </c>
      <c r="G24" s="143" t="s">
        <v>46</v>
      </c>
      <c r="AP24" s="5"/>
      <c r="AQ24" s="5"/>
      <c r="AR24" s="5"/>
    </row>
    <row r="25" spans="2:44">
      <c r="B25" s="116" t="str">
        <f t="shared" ref="B25:B57" si="2">$B$17</f>
        <v>Commercial Services (excl. Data centers)</v>
      </c>
      <c r="C25" s="126" t="str">
        <f>Legend!$A$24</f>
        <v>Space heating</v>
      </c>
      <c r="D25" s="9" t="str">
        <f>Legend!$A$36</f>
        <v>Solids</v>
      </c>
      <c r="E25" s="9"/>
      <c r="F25" s="132">
        <v>1</v>
      </c>
      <c r="G25" s="131">
        <f>SUMIFS($D$17:$L$17,$D$11:$L$11,$D25)*F25</f>
        <v>2.1558777590977449E-2</v>
      </c>
      <c r="L25" s="9"/>
      <c r="M25" s="9"/>
      <c r="AP25" s="5"/>
      <c r="AQ25" s="5"/>
      <c r="AR25" s="5"/>
    </row>
    <row r="26" spans="2:44">
      <c r="B26" s="116" t="str">
        <f t="shared" si="2"/>
        <v>Commercial Services (excl. Data centers)</v>
      </c>
      <c r="C26" s="126" t="str">
        <f>Legend!$A$24</f>
        <v>Space heating</v>
      </c>
      <c r="D26" s="9" t="str">
        <f>Legend!$A$37</f>
        <v>LPG</v>
      </c>
      <c r="E26" s="9"/>
      <c r="F26" s="127">
        <v>0</v>
      </c>
      <c r="G26" s="131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6" t="str">
        <f t="shared" si="2"/>
        <v>Commercial Services (excl. Data centers)</v>
      </c>
      <c r="C27" s="126" t="str">
        <f>Legend!$A$24</f>
        <v>Space heating</v>
      </c>
      <c r="D27" s="9" t="str">
        <f>Legend!$A$38</f>
        <v>Oil</v>
      </c>
      <c r="E27" s="9"/>
      <c r="F27" s="127">
        <v>0.77148994613935973</v>
      </c>
      <c r="G27" s="131">
        <f t="shared" si="3"/>
        <v>2.1993251583722464</v>
      </c>
      <c r="L27" s="9"/>
      <c r="M27" s="9"/>
      <c r="AP27" s="5"/>
      <c r="AQ27" s="5"/>
      <c r="AR27" s="5"/>
    </row>
    <row r="28" spans="2:44">
      <c r="B28" s="116" t="str">
        <f t="shared" si="2"/>
        <v>Commercial Services (excl. Data centers)</v>
      </c>
      <c r="C28" s="126" t="str">
        <f>Legend!$A$24</f>
        <v>Space heating</v>
      </c>
      <c r="D28" s="9" t="str">
        <f>Legend!$A$39</f>
        <v>Natural Gas</v>
      </c>
      <c r="E28" s="9"/>
      <c r="F28" s="127">
        <v>0.57925202920378049</v>
      </c>
      <c r="G28" s="131">
        <f t="shared" si="3"/>
        <v>5.0084432542029917</v>
      </c>
      <c r="L28" s="9"/>
      <c r="M28" s="9"/>
      <c r="AP28" s="5"/>
      <c r="AQ28" s="5"/>
      <c r="AR28" s="5"/>
    </row>
    <row r="29" spans="2:44">
      <c r="B29" s="116" t="str">
        <f t="shared" si="2"/>
        <v>Commercial Services (excl. Data centers)</v>
      </c>
      <c r="C29" s="126" t="str">
        <f>Legend!$A$24</f>
        <v>Space heating</v>
      </c>
      <c r="D29" s="9" t="str">
        <f>Legend!$A$40</f>
        <v>Biomass</v>
      </c>
      <c r="E29" s="9"/>
      <c r="F29" s="127">
        <v>1</v>
      </c>
      <c r="G29" s="131">
        <f t="shared" si="3"/>
        <v>0.16330273712698948</v>
      </c>
      <c r="L29" s="9"/>
      <c r="M29" s="9"/>
      <c r="AP29" s="5"/>
      <c r="AQ29" s="5"/>
      <c r="AR29" s="5"/>
    </row>
    <row r="30" spans="2:44">
      <c r="B30" s="116" t="str">
        <f t="shared" si="2"/>
        <v>Commercial Services (excl. Data centers)</v>
      </c>
      <c r="C30" s="126" t="str">
        <f>Legend!$A$24</f>
        <v>Space heating</v>
      </c>
      <c r="D30" s="19" t="str">
        <f>Legend!$A$41</f>
        <v>Biogas</v>
      </c>
      <c r="E30" s="9"/>
      <c r="F30" s="132">
        <v>1</v>
      </c>
      <c r="G30" s="131">
        <f t="shared" si="3"/>
        <v>3.3679906825219208E-2</v>
      </c>
      <c r="L30" s="9"/>
      <c r="M30" s="9"/>
      <c r="AP30" s="5"/>
      <c r="AQ30" s="5"/>
      <c r="AR30" s="5"/>
    </row>
    <row r="31" spans="2:44">
      <c r="B31" s="116" t="str">
        <f t="shared" si="2"/>
        <v>Commercial Services (excl. Data centers)</v>
      </c>
      <c r="C31" s="126" t="str">
        <f>Legend!$A$24</f>
        <v>Space heating</v>
      </c>
      <c r="D31" s="19" t="str">
        <f>Legend!$A$42</f>
        <v>Solar</v>
      </c>
      <c r="E31" s="9"/>
      <c r="F31" s="127">
        <v>0</v>
      </c>
      <c r="G31" s="131">
        <f t="shared" si="3"/>
        <v>0</v>
      </c>
      <c r="L31" s="9"/>
      <c r="M31" s="9"/>
      <c r="AP31" s="5"/>
      <c r="AQ31" s="5"/>
      <c r="AR31" s="5"/>
    </row>
    <row r="32" spans="2:44">
      <c r="B32" s="116" t="str">
        <f t="shared" si="2"/>
        <v>Commercial Services (excl. Data centers)</v>
      </c>
      <c r="C32" s="126" t="str">
        <f>Legend!$A$24</f>
        <v>Space heating</v>
      </c>
      <c r="D32" s="9" t="str">
        <f>Legend!$A$43</f>
        <v>Electricity</v>
      </c>
      <c r="E32" s="9" t="s">
        <v>387</v>
      </c>
      <c r="F32" s="127">
        <v>2.0979079880167242E-2</v>
      </c>
      <c r="G32" s="131">
        <f t="shared" si="3"/>
        <v>0.60997510796959531</v>
      </c>
      <c r="L32" s="9"/>
      <c r="M32" s="9"/>
      <c r="AP32" s="5"/>
      <c r="AQ32" s="5"/>
      <c r="AR32" s="5"/>
    </row>
    <row r="33" spans="2:44">
      <c r="B33" s="116" t="str">
        <f t="shared" si="2"/>
        <v>Commercial Services (excl. Data centers)</v>
      </c>
      <c r="C33" s="126" t="str">
        <f>Legend!$A$24</f>
        <v>Space heating</v>
      </c>
      <c r="D33" s="9" t="str">
        <f>Legend!$A$43</f>
        <v>Electricity</v>
      </c>
      <c r="E33" s="9" t="s">
        <v>388</v>
      </c>
      <c r="F33" s="127">
        <v>9.0683292361053588E-2</v>
      </c>
      <c r="G33" s="131">
        <f t="shared" si="3"/>
        <v>2.6366528639449123</v>
      </c>
      <c r="L33" s="9"/>
      <c r="M33" s="9"/>
      <c r="AP33" s="5"/>
      <c r="AQ33" s="5"/>
      <c r="AR33" s="5"/>
    </row>
    <row r="34" spans="2:44">
      <c r="B34" s="116" t="str">
        <f t="shared" si="2"/>
        <v>Commercial Services (excl. Data centers)</v>
      </c>
      <c r="C34" s="126" t="str">
        <f>Legend!$A$24</f>
        <v>Space heating</v>
      </c>
      <c r="D34" s="9" t="str">
        <f>Legend!$A$44</f>
        <v>Ambient Heat</v>
      </c>
      <c r="E34" s="9"/>
      <c r="F34" s="132">
        <v>1</v>
      </c>
      <c r="G34" s="131">
        <f t="shared" si="3"/>
        <v>0.65533684376361445</v>
      </c>
      <c r="L34" s="9"/>
      <c r="M34" s="9"/>
      <c r="AP34" s="5"/>
      <c r="AQ34" s="5"/>
      <c r="AR34" s="5"/>
    </row>
    <row r="35" spans="2:44">
      <c r="B35" s="112" t="str">
        <f t="shared" si="2"/>
        <v>Commercial Services (excl. Data centers)</v>
      </c>
      <c r="C35" s="113" t="str">
        <f>Legend!$A$24</f>
        <v>Space heating</v>
      </c>
      <c r="D35" s="113" t="s">
        <v>389</v>
      </c>
      <c r="E35" s="133"/>
      <c r="F35" s="135"/>
      <c r="G35" s="134">
        <f>SUM(G25:G34)</f>
        <v>11.328274649796546</v>
      </c>
      <c r="H35" s="125"/>
      <c r="I35" s="125"/>
      <c r="J35" s="125"/>
      <c r="L35" s="9"/>
      <c r="M35" s="9"/>
      <c r="AP35" s="5"/>
      <c r="AQ35" s="5"/>
      <c r="AR35" s="5"/>
    </row>
    <row r="36" spans="2:44">
      <c r="B36" s="116" t="str">
        <f t="shared" si="2"/>
        <v>Commercial Services (excl. Data centers)</v>
      </c>
      <c r="C36" s="126" t="str">
        <f>Legend!$A$25</f>
        <v>Water heating</v>
      </c>
      <c r="D36" s="9" t="str">
        <f>Legend!$A$36</f>
        <v>Solids</v>
      </c>
      <c r="F36" s="127">
        <v>0</v>
      </c>
      <c r="G36" s="131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6" t="str">
        <f t="shared" si="2"/>
        <v>Commercial Services (excl. Data centers)</v>
      </c>
      <c r="C37" s="126" t="str">
        <f>Legend!$A$25</f>
        <v>Water heating</v>
      </c>
      <c r="D37" s="9" t="str">
        <f>Legend!$A$37</f>
        <v>LPG</v>
      </c>
      <c r="F37" s="127">
        <v>0</v>
      </c>
      <c r="G37" s="131">
        <f t="shared" si="4"/>
        <v>0</v>
      </c>
      <c r="L37" s="9"/>
      <c r="M37" s="9"/>
      <c r="AP37" s="5"/>
      <c r="AQ37" s="5"/>
      <c r="AR37" s="5"/>
    </row>
    <row r="38" spans="2:44">
      <c r="B38" s="116" t="str">
        <f t="shared" si="2"/>
        <v>Commercial Services (excl. Data centers)</v>
      </c>
      <c r="C38" s="126" t="str">
        <f>Legend!$A$25</f>
        <v>Water heating</v>
      </c>
      <c r="D38" s="9" t="str">
        <f>Legend!$A$38</f>
        <v>Oil</v>
      </c>
      <c r="F38" s="127">
        <v>0.2285100538606403</v>
      </c>
      <c r="G38" s="131">
        <f t="shared" si="4"/>
        <v>0.65142509362775403</v>
      </c>
      <c r="L38" s="9"/>
      <c r="M38" s="9"/>
      <c r="AP38" s="5"/>
      <c r="AQ38" s="5"/>
      <c r="AR38" s="5"/>
    </row>
    <row r="39" spans="2:44">
      <c r="B39" s="116" t="str">
        <f t="shared" si="2"/>
        <v>Commercial Services (excl. Data centers)</v>
      </c>
      <c r="C39" s="126" t="str">
        <f>Legend!$A$25</f>
        <v>Water heating</v>
      </c>
      <c r="D39" s="9" t="str">
        <f>Legend!$A$39</f>
        <v>Natural Gas</v>
      </c>
      <c r="F39" s="127">
        <v>0.17174852165350002</v>
      </c>
      <c r="G39" s="131">
        <f t="shared" si="4"/>
        <v>1.4850059755115566</v>
      </c>
      <c r="H39" s="131"/>
      <c r="L39" s="9"/>
      <c r="M39" s="9"/>
      <c r="AP39" s="5"/>
      <c r="AQ39" s="5"/>
      <c r="AR39" s="5"/>
    </row>
    <row r="40" spans="2:44">
      <c r="B40" s="116" t="str">
        <f t="shared" si="2"/>
        <v>Commercial Services (excl. Data centers)</v>
      </c>
      <c r="C40" s="126" t="str">
        <f>Legend!$A$25</f>
        <v>Water heating</v>
      </c>
      <c r="D40" s="9" t="str">
        <f>Legend!$A$40</f>
        <v>Biomass</v>
      </c>
      <c r="F40" s="127">
        <v>0</v>
      </c>
      <c r="G40" s="131">
        <f t="shared" si="4"/>
        <v>0</v>
      </c>
      <c r="L40" s="9"/>
      <c r="M40" s="9"/>
      <c r="AP40" s="5"/>
      <c r="AQ40" s="5"/>
      <c r="AR40" s="5"/>
    </row>
    <row r="41" spans="2:44">
      <c r="B41" s="116" t="str">
        <f t="shared" si="2"/>
        <v>Commercial Services (excl. Data centers)</v>
      </c>
      <c r="C41" s="126" t="str">
        <f>Legend!$A$25</f>
        <v>Water heating</v>
      </c>
      <c r="D41" s="9" t="str">
        <f>Legend!$A$41</f>
        <v>Biogas</v>
      </c>
      <c r="F41" s="132">
        <v>0</v>
      </c>
      <c r="G41" s="131">
        <f t="shared" si="4"/>
        <v>0</v>
      </c>
      <c r="L41" s="9"/>
      <c r="M41" s="9"/>
      <c r="AP41" s="5"/>
      <c r="AQ41" s="5"/>
      <c r="AR41" s="5"/>
    </row>
    <row r="42" spans="2:44">
      <c r="B42" s="116" t="str">
        <f t="shared" si="2"/>
        <v>Commercial Services (excl. Data centers)</v>
      </c>
      <c r="C42" s="126" t="str">
        <f>Legend!$A$25</f>
        <v>Water heating</v>
      </c>
      <c r="D42" s="9" t="str">
        <f>Legend!$A$43</f>
        <v>Electricity</v>
      </c>
      <c r="F42" s="127">
        <v>5.144655820488965E-2</v>
      </c>
      <c r="G42" s="131">
        <f t="shared" si="4"/>
        <v>1.4958291819727545</v>
      </c>
      <c r="L42" s="9"/>
      <c r="M42" s="9"/>
      <c r="AP42" s="5"/>
      <c r="AQ42" s="5"/>
      <c r="AR42" s="5"/>
    </row>
    <row r="43" spans="2:44">
      <c r="B43" s="116" t="str">
        <f t="shared" si="2"/>
        <v>Commercial Services (excl. Data centers)</v>
      </c>
      <c r="C43" s="126" t="str">
        <f>Legend!$A$25</f>
        <v>Water heating</v>
      </c>
      <c r="D43" s="9" t="str">
        <f>Legend!$A$42</f>
        <v>Solar</v>
      </c>
      <c r="F43" s="127">
        <v>0.99999999999999989</v>
      </c>
      <c r="G43" s="131">
        <f t="shared" si="4"/>
        <v>6.9707984942638888E-3</v>
      </c>
      <c r="L43" s="9"/>
      <c r="M43" s="9"/>
      <c r="AP43" s="5"/>
      <c r="AQ43" s="5"/>
      <c r="AR43" s="5"/>
    </row>
    <row r="44" spans="2:44">
      <c r="B44" s="112" t="str">
        <f t="shared" si="2"/>
        <v>Commercial Services (excl. Data centers)</v>
      </c>
      <c r="C44" s="113" t="str">
        <f>Legend!$A$25</f>
        <v>Water heating</v>
      </c>
      <c r="D44" s="113" t="s">
        <v>389</v>
      </c>
      <c r="E44" s="133"/>
      <c r="F44" s="135"/>
      <c r="G44" s="134">
        <f>SUM(G36:G43)</f>
        <v>3.6392310496063289</v>
      </c>
      <c r="L44" s="9"/>
      <c r="M44" s="9"/>
      <c r="AP44" s="5"/>
      <c r="AQ44" s="5"/>
      <c r="AR44" s="5"/>
    </row>
    <row r="45" spans="2:44">
      <c r="B45" s="116" t="str">
        <f t="shared" si="2"/>
        <v>Commercial Services (excl. Data centers)</v>
      </c>
      <c r="C45" s="126" t="str">
        <f>Legend!$A$26</f>
        <v>Space cooling</v>
      </c>
      <c r="D45" s="5" t="str">
        <f>Legend!$A$39</f>
        <v>Natural Gas</v>
      </c>
      <c r="F45" s="128">
        <v>5.5954037870663276E-4</v>
      </c>
      <c r="G45" s="131">
        <f t="shared" ref="G45:G46" si="5">SUMIFS($D$17:$L$17,$D$11:$L$11,$D45)*F45</f>
        <v>4.83800849008598E-3</v>
      </c>
      <c r="L45" s="9"/>
      <c r="M45" s="9"/>
      <c r="AP45" s="5"/>
      <c r="AQ45" s="5"/>
      <c r="AR45" s="5"/>
    </row>
    <row r="46" spans="2:44">
      <c r="B46" s="116" t="str">
        <f t="shared" si="2"/>
        <v>Commercial Services (excl. Data centers)</v>
      </c>
      <c r="C46" s="126" t="str">
        <f>Legend!$A$26</f>
        <v>Space cooling</v>
      </c>
      <c r="D46" s="5" t="str">
        <f>Legend!$A$43</f>
        <v>Electricity</v>
      </c>
      <c r="F46" s="128">
        <v>4.5127826308389997E-2</v>
      </c>
      <c r="G46" s="131">
        <f t="shared" si="5"/>
        <v>1.3121095339798998</v>
      </c>
      <c r="L46" s="9"/>
      <c r="M46" s="9"/>
      <c r="AP46" s="5"/>
      <c r="AQ46" s="5"/>
      <c r="AR46" s="5"/>
    </row>
    <row r="47" spans="2:44">
      <c r="B47" s="112" t="str">
        <f t="shared" si="2"/>
        <v>Commercial Services (excl. Data centers)</v>
      </c>
      <c r="C47" s="113" t="str">
        <f>Legend!$A$26</f>
        <v>Space cooling</v>
      </c>
      <c r="D47" s="113" t="s">
        <v>389</v>
      </c>
      <c r="E47" s="133"/>
      <c r="F47" s="135"/>
      <c r="G47" s="134">
        <f>SUM(G45:G46)</f>
        <v>1.3169475424699859</v>
      </c>
      <c r="K47" s="5"/>
      <c r="L47" s="9"/>
      <c r="M47" s="9"/>
      <c r="AP47" s="5"/>
      <c r="AQ47" s="5"/>
      <c r="AR47" s="5"/>
    </row>
    <row r="48" spans="2:44">
      <c r="B48" s="116" t="str">
        <f t="shared" si="2"/>
        <v>Commercial Services (excl. Data centers)</v>
      </c>
      <c r="C48" s="126" t="str">
        <f>Legend!$A$28</f>
        <v>Cooking</v>
      </c>
      <c r="D48" s="5" t="str">
        <f>Legend!$A$37</f>
        <v>LPG</v>
      </c>
      <c r="F48" s="127">
        <v>0.99999999999999989</v>
      </c>
      <c r="G48" s="131">
        <f t="shared" ref="G48:G51" si="6">SUMIFS($D$17:$L$17,$D$11:$L$11,$D48)*F48</f>
        <v>1.7196908257766739</v>
      </c>
      <c r="K48" s="5"/>
      <c r="L48" s="9"/>
      <c r="M48" s="9"/>
      <c r="AP48" s="5"/>
      <c r="AQ48" s="5"/>
      <c r="AR48" s="5"/>
    </row>
    <row r="49" spans="2:44">
      <c r="B49" s="116" t="str">
        <f t="shared" si="2"/>
        <v>Commercial Services (excl. Data centers)</v>
      </c>
      <c r="C49" s="126" t="str">
        <f>Legend!$A$28</f>
        <v>Cooking</v>
      </c>
      <c r="D49" s="5" t="str">
        <f>Legend!$A$39</f>
        <v>Natural Gas</v>
      </c>
      <c r="F49" s="127">
        <v>0.24844748726336943</v>
      </c>
      <c r="G49" s="131">
        <f t="shared" si="6"/>
        <v>2.1481757143230484</v>
      </c>
      <c r="K49" s="5"/>
      <c r="L49" s="9"/>
      <c r="M49" s="9"/>
      <c r="AP49" s="5"/>
      <c r="AQ49" s="5"/>
      <c r="AR49" s="5"/>
    </row>
    <row r="50" spans="2:44">
      <c r="B50" s="116" t="str">
        <f t="shared" si="2"/>
        <v>Commercial Services (excl. Data centers)</v>
      </c>
      <c r="C50" s="126" t="str">
        <f>Legend!$A$28</f>
        <v>Cooking</v>
      </c>
      <c r="D50" s="5" t="str">
        <f>Legend!$A$40</f>
        <v>Biomass</v>
      </c>
      <c r="F50" s="127">
        <v>0</v>
      </c>
      <c r="G50" s="131">
        <f t="shared" si="6"/>
        <v>0</v>
      </c>
      <c r="K50" s="5"/>
      <c r="L50" s="9"/>
      <c r="M50" s="9"/>
      <c r="AP50" s="5"/>
      <c r="AQ50" s="5"/>
      <c r="AR50" s="5"/>
    </row>
    <row r="51" spans="2:44">
      <c r="B51" s="116" t="str">
        <f t="shared" si="2"/>
        <v>Commercial Services (excl. Data centers)</v>
      </c>
      <c r="C51" s="126" t="str">
        <f>Legend!$A$28</f>
        <v>Cooking</v>
      </c>
      <c r="D51" s="5" t="str">
        <f>Legend!$A$43</f>
        <v>Electricity</v>
      </c>
      <c r="F51" s="127">
        <v>9.8223015432927246E-2</v>
      </c>
      <c r="G51" s="131">
        <f t="shared" si="6"/>
        <v>2.8558733169436508</v>
      </c>
      <c r="K51" s="5"/>
      <c r="L51" s="9"/>
      <c r="M51" s="9"/>
      <c r="AP51" s="5"/>
      <c r="AQ51" s="5"/>
      <c r="AR51" s="5"/>
    </row>
    <row r="52" spans="2:44">
      <c r="B52" s="112" t="str">
        <f t="shared" si="2"/>
        <v>Commercial Services (excl. Data centers)</v>
      </c>
      <c r="C52" s="113" t="str">
        <f>Legend!$A$28</f>
        <v>Cooking</v>
      </c>
      <c r="D52" s="113" t="s">
        <v>389</v>
      </c>
      <c r="E52" s="133"/>
      <c r="F52" s="135"/>
      <c r="G52" s="134">
        <f>SUM(G48:G51)</f>
        <v>6.7237398570433733</v>
      </c>
      <c r="K52" s="5"/>
      <c r="L52" s="9"/>
      <c r="M52" s="9"/>
      <c r="AP52" s="5"/>
      <c r="AQ52" s="5"/>
      <c r="AR52" s="5"/>
    </row>
    <row r="53" spans="2:44">
      <c r="B53" s="116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9">
        <v>0.25516550175799979</v>
      </c>
      <c r="G53" s="131">
        <f t="shared" ref="G53:G55" si="7">SUMIFS($D$17:$L$17,$D$11:$L$11,$D53)*F53</f>
        <v>7.4190386505983943</v>
      </c>
      <c r="K53" s="5"/>
      <c r="L53" s="9"/>
      <c r="M53" s="9"/>
      <c r="AP53" s="5"/>
      <c r="AQ53" s="5"/>
      <c r="AR53" s="5"/>
    </row>
    <row r="54" spans="2:44">
      <c r="B54" s="116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9">
        <v>9.892425266646325E-2</v>
      </c>
      <c r="G54" s="131">
        <f t="shared" si="7"/>
        <v>2.8762620689614544</v>
      </c>
      <c r="K54" s="5"/>
      <c r="L54" s="9"/>
      <c r="M54" s="9"/>
      <c r="AP54" s="5"/>
      <c r="AQ54" s="5"/>
      <c r="AR54" s="5"/>
    </row>
    <row r="55" spans="2:44">
      <c r="B55" s="116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9">
        <f>1-SUMIFS($F$25:$F$54,$D$25:$D$54,D55)</f>
        <v>0.3394504733881093</v>
      </c>
      <c r="G55" s="131">
        <f t="shared" si="7"/>
        <v>9.8696577894717272</v>
      </c>
      <c r="K55" s="5"/>
      <c r="L55" s="9"/>
      <c r="M55" s="9"/>
      <c r="AP55" s="5"/>
      <c r="AQ55" s="5"/>
      <c r="AR55" s="5"/>
    </row>
    <row r="56" spans="2:44">
      <c r="B56" s="112" t="str">
        <f t="shared" si="2"/>
        <v>Commercial Services (excl. Data centers)</v>
      </c>
      <c r="C56" s="113" t="s">
        <v>395</v>
      </c>
      <c r="D56" s="113" t="str">
        <f>Legend!$A$43</f>
        <v>Electricity</v>
      </c>
      <c r="E56" s="133"/>
      <c r="F56" s="135"/>
      <c r="G56" s="134">
        <f>SUM(G53:G55)</f>
        <v>20.164958509031578</v>
      </c>
      <c r="K56" s="5"/>
      <c r="L56" s="5"/>
      <c r="AP56" s="5"/>
      <c r="AQ56" s="5"/>
      <c r="AR56" s="5"/>
    </row>
    <row r="57" spans="2:44">
      <c r="B57" s="136" t="str">
        <f t="shared" si="2"/>
        <v>Commercial Services (excl. Data centers)</v>
      </c>
      <c r="C57" s="137" t="s">
        <v>397</v>
      </c>
      <c r="D57" s="141" t="s">
        <v>389</v>
      </c>
      <c r="E57" s="136"/>
      <c r="F57" s="138"/>
      <c r="G57" s="134">
        <f>SUM(G35,G44,G47,G52,G56)</f>
        <v>43.173151607947815</v>
      </c>
      <c r="L57" s="5"/>
      <c r="AP57" s="5"/>
      <c r="AQ57" s="5"/>
      <c r="AR57" s="5"/>
    </row>
    <row r="58" spans="2:44">
      <c r="D58" s="5"/>
      <c r="F58" s="139" t="s">
        <v>377</v>
      </c>
      <c r="G58" s="140">
        <f>G57-M17</f>
        <v>6.552671733572879E-5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375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102" t="s">
        <v>376</v>
      </c>
      <c r="C61" s="102" t="s">
        <v>158</v>
      </c>
      <c r="D61" s="12" t="s">
        <v>81</v>
      </c>
      <c r="E61" s="12" t="s">
        <v>386</v>
      </c>
      <c r="F61" s="103" t="s">
        <v>396</v>
      </c>
      <c r="G61" s="110" t="s">
        <v>83</v>
      </c>
      <c r="AP61" s="5"/>
      <c r="AQ61" s="5"/>
      <c r="AR61" s="5"/>
    </row>
    <row r="62" spans="2:44" ht="15.75" thickBot="1">
      <c r="B62" s="224" t="s">
        <v>475</v>
      </c>
      <c r="C62" s="6"/>
      <c r="D62" s="15"/>
      <c r="E62" s="15"/>
      <c r="F62" s="139" t="s">
        <v>178</v>
      </c>
      <c r="G62" s="125"/>
      <c r="AP62" s="5"/>
      <c r="AQ62" s="5"/>
      <c r="AR62" s="5"/>
    </row>
    <row r="63" spans="2:44">
      <c r="B63" s="130"/>
      <c r="C63" s="130"/>
      <c r="D63" s="69"/>
      <c r="E63" s="69"/>
      <c r="F63" s="142" t="s">
        <v>132</v>
      </c>
      <c r="G63" s="143" t="s">
        <v>46</v>
      </c>
      <c r="AP63" s="5"/>
      <c r="AQ63" s="5"/>
      <c r="AR63" s="5"/>
    </row>
    <row r="64" spans="2:44">
      <c r="B64" s="116" t="str">
        <f t="shared" ref="B64:B96" si="8">$B$18</f>
        <v>Public Services (excl. Public lighting)</v>
      </c>
      <c r="C64" s="126" t="str">
        <f>Legend!$A$24</f>
        <v>Space heating</v>
      </c>
      <c r="D64" s="9" t="str">
        <f>Legend!$A$36</f>
        <v>Solids</v>
      </c>
      <c r="E64" s="9"/>
      <c r="F64" s="132">
        <f t="shared" ref="F64:F73" si="9">F25</f>
        <v>1</v>
      </c>
      <c r="G64" s="131">
        <f t="shared" ref="G64:G73" si="10">SUMIFS($D$18:$L$18,$D$11:$L$11,$D64)*F64</f>
        <v>2.0930852030075187E-4</v>
      </c>
    </row>
    <row r="65" spans="2:7">
      <c r="B65" s="116" t="str">
        <f t="shared" si="8"/>
        <v>Public Services (excl. Public lighting)</v>
      </c>
      <c r="C65" s="126" t="str">
        <f>Legend!$A$24</f>
        <v>Space heating</v>
      </c>
      <c r="D65" s="9" t="str">
        <f>Legend!$A$37</f>
        <v>LPG</v>
      </c>
      <c r="E65" s="9"/>
      <c r="F65" s="127">
        <f t="shared" si="9"/>
        <v>0</v>
      </c>
      <c r="G65" s="131">
        <f t="shared" si="10"/>
        <v>0</v>
      </c>
    </row>
    <row r="66" spans="2:7">
      <c r="B66" s="116" t="str">
        <f t="shared" si="8"/>
        <v>Public Services (excl. Public lighting)</v>
      </c>
      <c r="C66" s="126" t="str">
        <f>Legend!$A$24</f>
        <v>Space heating</v>
      </c>
      <c r="D66" s="9" t="str">
        <f>Legend!$A$38</f>
        <v>Oil</v>
      </c>
      <c r="E66" s="9"/>
      <c r="F66" s="127">
        <f t="shared" si="9"/>
        <v>0.77148994613935973</v>
      </c>
      <c r="G66" s="131">
        <f t="shared" si="10"/>
        <v>3.3028750499799471</v>
      </c>
    </row>
    <row r="67" spans="2:7">
      <c r="B67" s="116" t="str">
        <f t="shared" si="8"/>
        <v>Public Services (excl. Public lighting)</v>
      </c>
      <c r="C67" s="126" t="str">
        <f>Legend!$A$24</f>
        <v>Space heating</v>
      </c>
      <c r="D67" s="9" t="str">
        <f>Legend!$A$39</f>
        <v>Natural Gas</v>
      </c>
      <c r="E67" s="9"/>
      <c r="F67" s="127">
        <f t="shared" si="9"/>
        <v>0.57925202920378049</v>
      </c>
      <c r="G67" s="131">
        <f t="shared" si="10"/>
        <v>2.96128720385197</v>
      </c>
    </row>
    <row r="68" spans="2:7">
      <c r="B68" s="116" t="str">
        <f t="shared" si="8"/>
        <v>Public Services (excl. Public lighting)</v>
      </c>
      <c r="C68" s="126" t="str">
        <f>Legend!$A$24</f>
        <v>Space heating</v>
      </c>
      <c r="D68" s="9" t="str">
        <f>Legend!$A$40</f>
        <v>Biomass</v>
      </c>
      <c r="E68" s="9"/>
      <c r="F68" s="127">
        <f t="shared" si="9"/>
        <v>1</v>
      </c>
      <c r="G68" s="131">
        <f t="shared" si="10"/>
        <v>0.59003334698845478</v>
      </c>
    </row>
    <row r="69" spans="2:7">
      <c r="B69" s="116" t="str">
        <f t="shared" si="8"/>
        <v>Public Services (excl. Public lighting)</v>
      </c>
      <c r="C69" s="126" t="str">
        <f>Legend!$A$24</f>
        <v>Space heating</v>
      </c>
      <c r="D69" s="19" t="str">
        <f>Legend!$A$41</f>
        <v>Biogas</v>
      </c>
      <c r="E69" s="9"/>
      <c r="F69" s="132">
        <f t="shared" si="9"/>
        <v>1</v>
      </c>
      <c r="G69" s="131">
        <f t="shared" si="10"/>
        <v>0.20169130173120231</v>
      </c>
    </row>
    <row r="70" spans="2:7">
      <c r="B70" s="116" t="str">
        <f t="shared" si="8"/>
        <v>Public Services (excl. Public lighting)</v>
      </c>
      <c r="C70" s="126" t="str">
        <f>Legend!$A$24</f>
        <v>Space heating</v>
      </c>
      <c r="D70" s="19" t="str">
        <f>Legend!$A$42</f>
        <v>Solar</v>
      </c>
      <c r="E70" s="9"/>
      <c r="F70" s="127">
        <f t="shared" si="9"/>
        <v>0</v>
      </c>
      <c r="G70" s="131">
        <f t="shared" si="10"/>
        <v>0</v>
      </c>
    </row>
    <row r="71" spans="2:7">
      <c r="B71" s="116" t="str">
        <f t="shared" si="8"/>
        <v>Public Services (excl. Public lighting)</v>
      </c>
      <c r="C71" s="126" t="str">
        <f>Legend!$A$24</f>
        <v>Space heating</v>
      </c>
      <c r="D71" s="9" t="str">
        <f>Legend!$A$43</f>
        <v>Electricity</v>
      </c>
      <c r="E71" s="9" t="s">
        <v>387</v>
      </c>
      <c r="F71" s="127">
        <f t="shared" si="9"/>
        <v>2.0979079880167242E-2</v>
      </c>
      <c r="G71" s="131">
        <f t="shared" si="10"/>
        <v>0.18908590376778286</v>
      </c>
    </row>
    <row r="72" spans="2:7">
      <c r="B72" s="116" t="str">
        <f t="shared" si="8"/>
        <v>Public Services (excl. Public lighting)</v>
      </c>
      <c r="C72" s="126" t="str">
        <f>Legend!$A$24</f>
        <v>Space heating</v>
      </c>
      <c r="D72" s="9" t="str">
        <f>Legend!$A$43</f>
        <v>Electricity</v>
      </c>
      <c r="E72" s="9" t="s">
        <v>388</v>
      </c>
      <c r="F72" s="127">
        <f t="shared" si="9"/>
        <v>9.0683292361053588E-2</v>
      </c>
      <c r="G72" s="131">
        <f t="shared" si="10"/>
        <v>0.81733481118673368</v>
      </c>
    </row>
    <row r="73" spans="2:7">
      <c r="B73" s="116" t="str">
        <f t="shared" si="8"/>
        <v>Public Services (excl. Public lighting)</v>
      </c>
      <c r="C73" s="126" t="str">
        <f>Legend!$A$24</f>
        <v>Space heating</v>
      </c>
      <c r="D73" s="9" t="str">
        <f>Legend!$A$44</f>
        <v>Ambient Heat</v>
      </c>
      <c r="E73" s="9"/>
      <c r="F73" s="132">
        <f t="shared" si="9"/>
        <v>1</v>
      </c>
      <c r="G73" s="131">
        <f t="shared" si="10"/>
        <v>0</v>
      </c>
    </row>
    <row r="74" spans="2:7">
      <c r="B74" s="112" t="str">
        <f t="shared" si="8"/>
        <v>Public Services (excl. Public lighting)</v>
      </c>
      <c r="C74" s="113" t="str">
        <f>Legend!$A$24</f>
        <v>Space heating</v>
      </c>
      <c r="D74" s="113" t="s">
        <v>389</v>
      </c>
      <c r="E74" s="133"/>
      <c r="F74" s="135"/>
      <c r="G74" s="134">
        <f>SUM(G64:G73)</f>
        <v>8.062516926026392</v>
      </c>
    </row>
    <row r="75" spans="2:7">
      <c r="B75" s="116" t="str">
        <f t="shared" si="8"/>
        <v>Public Services (excl. Public lighting)</v>
      </c>
      <c r="C75" s="126" t="str">
        <f>Legend!$A$25</f>
        <v>Water heating</v>
      </c>
      <c r="D75" s="9" t="str">
        <f>Legend!$A$36</f>
        <v>Solids</v>
      </c>
      <c r="F75" s="127">
        <f t="shared" ref="F75:F82" si="11">F36</f>
        <v>0</v>
      </c>
      <c r="G75" s="131">
        <f t="shared" ref="G75:G82" si="12">SUMIFS($D$18:$L$18,$D$11:$L$11,$D75)*F75</f>
        <v>0</v>
      </c>
    </row>
    <row r="76" spans="2:7">
      <c r="B76" s="116" t="str">
        <f t="shared" si="8"/>
        <v>Public Services (excl. Public lighting)</v>
      </c>
      <c r="C76" s="126" t="str">
        <f>Legend!$A$25</f>
        <v>Water heating</v>
      </c>
      <c r="D76" s="9" t="str">
        <f>Legend!$A$37</f>
        <v>LPG</v>
      </c>
      <c r="F76" s="127">
        <f t="shared" si="11"/>
        <v>0</v>
      </c>
      <c r="G76" s="131">
        <f t="shared" si="12"/>
        <v>0</v>
      </c>
    </row>
    <row r="77" spans="2:7">
      <c r="B77" s="116" t="str">
        <f t="shared" si="8"/>
        <v>Public Services (excl. Public lighting)</v>
      </c>
      <c r="C77" s="126" t="str">
        <f>Legend!$A$25</f>
        <v>Water heating</v>
      </c>
      <c r="D77" s="9" t="str">
        <f>Legend!$A$38</f>
        <v>Oil</v>
      </c>
      <c r="F77" s="127">
        <f t="shared" si="11"/>
        <v>0.2285100538606403</v>
      </c>
      <c r="G77" s="131">
        <f t="shared" si="12"/>
        <v>0.97828903583605309</v>
      </c>
    </row>
    <row r="78" spans="2:7">
      <c r="B78" s="116" t="str">
        <f t="shared" si="8"/>
        <v>Public Services (excl. Public lighting)</v>
      </c>
      <c r="C78" s="126" t="str">
        <f>Legend!$A$25</f>
        <v>Water heating</v>
      </c>
      <c r="D78" s="9" t="str">
        <f>Legend!$A$39</f>
        <v>Natural Gas</v>
      </c>
      <c r="F78" s="127">
        <f t="shared" si="11"/>
        <v>0.17174852165350002</v>
      </c>
      <c r="G78" s="131">
        <f t="shared" si="12"/>
        <v>0.87802316403121061</v>
      </c>
    </row>
    <row r="79" spans="2:7">
      <c r="B79" s="116" t="str">
        <f t="shared" si="8"/>
        <v>Public Services (excl. Public lighting)</v>
      </c>
      <c r="C79" s="126" t="str">
        <f>Legend!$A$25</f>
        <v>Water heating</v>
      </c>
      <c r="D79" s="9" t="str">
        <f>Legend!$A$40</f>
        <v>Biomass</v>
      </c>
      <c r="F79" s="127">
        <f t="shared" si="11"/>
        <v>0</v>
      </c>
      <c r="G79" s="131">
        <f t="shared" si="12"/>
        <v>0</v>
      </c>
    </row>
    <row r="80" spans="2:7">
      <c r="B80" s="116" t="str">
        <f t="shared" si="8"/>
        <v>Public Services (excl. Public lighting)</v>
      </c>
      <c r="C80" s="126" t="str">
        <f>Legend!$A$25</f>
        <v>Water heating</v>
      </c>
      <c r="D80" s="9" t="str">
        <f>Legend!$A$41</f>
        <v>Biogas</v>
      </c>
      <c r="F80" s="132">
        <f t="shared" si="11"/>
        <v>0</v>
      </c>
      <c r="G80" s="131">
        <f t="shared" si="12"/>
        <v>0</v>
      </c>
    </row>
    <row r="81" spans="2:7">
      <c r="B81" s="116" t="str">
        <f t="shared" si="8"/>
        <v>Public Services (excl. Public lighting)</v>
      </c>
      <c r="C81" s="126" t="str">
        <f>Legend!$A$25</f>
        <v>Water heating</v>
      </c>
      <c r="D81" s="9" t="str">
        <f>Legend!$A$43</f>
        <v>Electricity</v>
      </c>
      <c r="F81" s="127">
        <f t="shared" si="11"/>
        <v>5.144655820488965E-2</v>
      </c>
      <c r="G81" s="131">
        <f t="shared" si="12"/>
        <v>0.4636914016000141</v>
      </c>
    </row>
    <row r="82" spans="2:7">
      <c r="B82" s="116" t="str">
        <f t="shared" si="8"/>
        <v>Public Services (excl. Public lighting)</v>
      </c>
      <c r="C82" s="126" t="str">
        <f>Legend!$A$25</f>
        <v>Water heating</v>
      </c>
      <c r="D82" s="9" t="str">
        <f>Legend!$A$42</f>
        <v>Solar</v>
      </c>
      <c r="F82" s="127">
        <f t="shared" si="11"/>
        <v>0.99999999999999989</v>
      </c>
      <c r="G82" s="131">
        <f t="shared" si="12"/>
        <v>0</v>
      </c>
    </row>
    <row r="83" spans="2:7">
      <c r="B83" s="112" t="str">
        <f t="shared" si="8"/>
        <v>Public Services (excl. Public lighting)</v>
      </c>
      <c r="C83" s="113" t="str">
        <f>Legend!$A$25</f>
        <v>Water heating</v>
      </c>
      <c r="D83" s="113" t="s">
        <v>389</v>
      </c>
      <c r="E83" s="133"/>
      <c r="F83" s="135"/>
      <c r="G83" s="134">
        <f>SUM(G75:G82)</f>
        <v>2.3200036014672776</v>
      </c>
    </row>
    <row r="84" spans="2:7">
      <c r="B84" s="116" t="str">
        <f t="shared" si="8"/>
        <v>Public Services (excl. Public lighting)</v>
      </c>
      <c r="C84" s="126" t="str">
        <f>Legend!$A$26</f>
        <v>Space cooling</v>
      </c>
      <c r="D84" s="5" t="str">
        <f>Legend!$A$39</f>
        <v>Natural Gas</v>
      </c>
      <c r="F84" s="128">
        <f>F45</f>
        <v>5.5954037870663276E-4</v>
      </c>
      <c r="G84" s="131">
        <f t="shared" ref="G84:G85" si="13">SUMIFS($D$18:$L$18,$D$11:$L$11,$D84)*F84</f>
        <v>2.8605161138236072E-3</v>
      </c>
    </row>
    <row r="85" spans="2:7">
      <c r="B85" s="116" t="str">
        <f t="shared" si="8"/>
        <v>Public Services (excl. Public lighting)</v>
      </c>
      <c r="C85" s="126" t="str">
        <f>Legend!$A$26</f>
        <v>Space cooling</v>
      </c>
      <c r="D85" s="5" t="str">
        <f>Legend!$A$43</f>
        <v>Electricity</v>
      </c>
      <c r="F85" s="128">
        <f>F46</f>
        <v>4.5127826308389997E-2</v>
      </c>
      <c r="G85" s="131">
        <f t="shared" si="13"/>
        <v>0.40674023223793676</v>
      </c>
    </row>
    <row r="86" spans="2:7">
      <c r="B86" s="112" t="str">
        <f t="shared" si="8"/>
        <v>Public Services (excl. Public lighting)</v>
      </c>
      <c r="C86" s="113" t="str">
        <f>Legend!$A$26</f>
        <v>Space cooling</v>
      </c>
      <c r="D86" s="113" t="s">
        <v>389</v>
      </c>
      <c r="E86" s="133"/>
      <c r="F86" s="135"/>
      <c r="G86" s="134">
        <f>SUM(G84:G85)</f>
        <v>0.40960074835176036</v>
      </c>
    </row>
    <row r="87" spans="2:7">
      <c r="B87" s="116" t="str">
        <f t="shared" si="8"/>
        <v>Public Services (excl. Public lighting)</v>
      </c>
      <c r="C87" s="126" t="str">
        <f>Legend!$A$28</f>
        <v>Cooking</v>
      </c>
      <c r="D87" s="5" t="str">
        <f>Legend!$A$37</f>
        <v>LPG</v>
      </c>
      <c r="F87" s="127">
        <f>F48</f>
        <v>0.99999999999999989</v>
      </c>
      <c r="G87" s="131">
        <f t="shared" ref="G87:G90" si="14">SUMIFS($D$18:$L$18,$D$11:$L$11,$D87)*F87</f>
        <v>1.2330251639585386</v>
      </c>
    </row>
    <row r="88" spans="2:7">
      <c r="B88" s="116" t="str">
        <f t="shared" si="8"/>
        <v>Public Services (excl. Public lighting)</v>
      </c>
      <c r="C88" s="126" t="str">
        <f>Legend!$A$28</f>
        <v>Cooking</v>
      </c>
      <c r="D88" s="5" t="str">
        <f>Legend!$A$39</f>
        <v>Natural Gas</v>
      </c>
      <c r="F88" s="127">
        <f>F49</f>
        <v>0.24844748726336943</v>
      </c>
      <c r="G88" s="131">
        <f t="shared" si="14"/>
        <v>1.2701282477568392</v>
      </c>
    </row>
    <row r="89" spans="2:7">
      <c r="B89" s="116" t="str">
        <f t="shared" si="8"/>
        <v>Public Services (excl. Public lighting)</v>
      </c>
      <c r="C89" s="126" t="str">
        <f>Legend!$A$28</f>
        <v>Cooking</v>
      </c>
      <c r="D89" s="5" t="str">
        <f>Legend!$A$40</f>
        <v>Biomass</v>
      </c>
      <c r="F89" s="127">
        <f>F50</f>
        <v>0</v>
      </c>
      <c r="G89" s="131">
        <f t="shared" si="14"/>
        <v>0</v>
      </c>
    </row>
    <row r="90" spans="2:7">
      <c r="B90" s="116" t="str">
        <f t="shared" si="8"/>
        <v>Public Services (excl. Public lighting)</v>
      </c>
      <c r="C90" s="126" t="str">
        <f>Legend!$A$28</f>
        <v>Cooking</v>
      </c>
      <c r="D90" s="5" t="str">
        <f>Legend!$A$43</f>
        <v>Electricity</v>
      </c>
      <c r="F90" s="127">
        <f>F51</f>
        <v>9.8223015432927246E-2</v>
      </c>
      <c r="G90" s="131">
        <f t="shared" si="14"/>
        <v>0.88529085879927893</v>
      </c>
    </row>
    <row r="91" spans="2:7">
      <c r="B91" s="112" t="str">
        <f t="shared" si="8"/>
        <v>Public Services (excl. Public lighting)</v>
      </c>
      <c r="C91" s="113" t="str">
        <f>Legend!$A$28</f>
        <v>Cooking</v>
      </c>
      <c r="D91" s="113" t="s">
        <v>389</v>
      </c>
      <c r="E91" s="133"/>
      <c r="F91" s="135"/>
      <c r="G91" s="134">
        <f>SUM(G87:G90)</f>
        <v>3.3884442705146567</v>
      </c>
    </row>
    <row r="92" spans="2:7">
      <c r="B92" s="116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9">
        <f>F53</f>
        <v>0.25516550175799979</v>
      </c>
      <c r="G92" s="131">
        <f t="shared" ref="G92:G94" si="15">SUMIFS($D$18:$L$18,$D$11:$L$11,$D92)*F92</f>
        <v>2.2998243862869807</v>
      </c>
    </row>
    <row r="93" spans="2:7">
      <c r="B93" s="116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9">
        <f>F54</f>
        <v>9.892425266646325E-2</v>
      </c>
      <c r="G93" s="131">
        <f t="shared" si="15"/>
        <v>0.89161115867973861</v>
      </c>
    </row>
    <row r="94" spans="2:7">
      <c r="B94" s="116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9">
        <f>F55</f>
        <v>0.3394504733881093</v>
      </c>
      <c r="G94" s="131">
        <f t="shared" si="15"/>
        <v>3.059490688420063</v>
      </c>
    </row>
    <row r="95" spans="2:7">
      <c r="B95" s="112" t="str">
        <f t="shared" si="8"/>
        <v>Public Services (excl. Public lighting)</v>
      </c>
      <c r="C95" s="113" t="s">
        <v>395</v>
      </c>
      <c r="D95" s="113" t="str">
        <f>Legend!$A$43</f>
        <v>Electricity</v>
      </c>
      <c r="E95" s="133"/>
      <c r="F95" s="135"/>
      <c r="G95" s="134">
        <f>SUM(G92:G94)</f>
        <v>6.2509262333867817</v>
      </c>
    </row>
    <row r="96" spans="2:7">
      <c r="B96" s="136" t="str">
        <f t="shared" si="8"/>
        <v>Public Services (excl. Public lighting)</v>
      </c>
      <c r="C96" s="137" t="s">
        <v>397</v>
      </c>
      <c r="D96" s="141" t="s">
        <v>389</v>
      </c>
      <c r="E96" s="136"/>
      <c r="F96" s="138"/>
      <c r="G96" s="134">
        <f>SUM(G74,G83,G86,G91,G95)</f>
        <v>20.431491779746867</v>
      </c>
    </row>
    <row r="97" spans="4:7">
      <c r="D97" s="5"/>
      <c r="F97" s="139" t="s">
        <v>377</v>
      </c>
      <c r="G97" s="140">
        <f>G96-M18</f>
        <v>3.8743262063434258E-5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162</v>
      </c>
    </row>
    <row r="2" spans="1:12" customFormat="1"/>
    <row r="3" spans="1:12" ht="21">
      <c r="A3" s="65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155</v>
      </c>
      <c r="B5" s="9" t="s">
        <v>178</v>
      </c>
      <c r="C5" s="70" t="s">
        <v>163</v>
      </c>
      <c r="D5" s="149">
        <v>87.053206529921553</v>
      </c>
    </row>
    <row r="6" spans="1:12" ht="17.25">
      <c r="A6" s="14" t="s">
        <v>156</v>
      </c>
      <c r="B6" s="14" t="s">
        <v>480</v>
      </c>
      <c r="C6" s="14" t="s">
        <v>164</v>
      </c>
      <c r="D6" s="234">
        <f>'CSO data'!O36</f>
        <v>670</v>
      </c>
    </row>
    <row r="8" spans="1:12" ht="21">
      <c r="A8" s="65" t="s">
        <v>57</v>
      </c>
      <c r="B8" s="66"/>
      <c r="C8" s="66"/>
      <c r="D8" s="66"/>
      <c r="E8" s="66"/>
      <c r="F8" s="66"/>
      <c r="G8" s="66"/>
      <c r="H8" s="66"/>
      <c r="I8" s="66"/>
    </row>
    <row r="9" spans="1:12" customFormat="1">
      <c r="A9" s="9" t="s">
        <v>399</v>
      </c>
      <c r="H9" s="61"/>
      <c r="I9" s="212"/>
      <c r="J9" s="212"/>
      <c r="K9" s="210"/>
      <c r="L9" s="210"/>
    </row>
    <row r="10" spans="1:12" ht="15.75" thickBot="1">
      <c r="A10" s="12"/>
      <c r="B10" s="12"/>
      <c r="C10" s="12" t="s">
        <v>80</v>
      </c>
      <c r="D10" s="12" t="s">
        <v>111</v>
      </c>
      <c r="H10" s="61"/>
      <c r="I10" s="212"/>
      <c r="J10" s="212"/>
      <c r="K10" s="210"/>
      <c r="L10" s="210"/>
    </row>
    <row r="11" spans="1:12" ht="15.75" thickBot="1">
      <c r="A11" s="224" t="s">
        <v>152</v>
      </c>
      <c r="B11" s="15"/>
      <c r="C11" s="224" t="s">
        <v>122</v>
      </c>
      <c r="D11" s="15"/>
      <c r="H11" s="61"/>
      <c r="I11" s="212"/>
      <c r="J11" s="212"/>
      <c r="K11" s="210"/>
      <c r="L11" s="210"/>
    </row>
    <row r="12" spans="1:12" ht="17.25">
      <c r="A12" s="17"/>
      <c r="B12" s="17"/>
      <c r="C12" s="17" t="s">
        <v>132</v>
      </c>
      <c r="D12" s="77" t="s">
        <v>163</v>
      </c>
      <c r="F12" s="15"/>
      <c r="H12" s="61"/>
      <c r="I12" s="212"/>
      <c r="J12" s="212"/>
      <c r="K12" s="210"/>
      <c r="L12" s="210"/>
    </row>
    <row r="13" spans="1:12">
      <c r="A13" s="9" t="s">
        <v>59</v>
      </c>
      <c r="C13" s="146">
        <v>0.23</v>
      </c>
      <c r="D13" s="52">
        <f>C13*$D$5</f>
        <v>20.022237501881957</v>
      </c>
      <c r="H13" s="61"/>
      <c r="I13" s="212"/>
      <c r="J13" s="212"/>
      <c r="K13" s="210"/>
      <c r="L13" s="210"/>
    </row>
    <row r="14" spans="1:12">
      <c r="B14" s="62" t="s">
        <v>61</v>
      </c>
      <c r="C14" s="148">
        <v>0.4</v>
      </c>
      <c r="D14" s="71">
        <f>D13*C14</f>
        <v>8.0088950007527835</v>
      </c>
      <c r="H14" s="61"/>
      <c r="I14" s="212"/>
      <c r="J14" s="212"/>
      <c r="K14" s="210"/>
      <c r="L14" s="210"/>
    </row>
    <row r="15" spans="1:12">
      <c r="B15" s="62" t="s">
        <v>60</v>
      </c>
      <c r="C15" s="148">
        <f>1-C14</f>
        <v>0.6</v>
      </c>
      <c r="D15" s="71">
        <f>D13*C15</f>
        <v>12.013342501129173</v>
      </c>
      <c r="H15" s="61"/>
      <c r="I15" s="212"/>
      <c r="K15" s="210"/>
      <c r="L15" s="210"/>
    </row>
    <row r="16" spans="1:12">
      <c r="A16" s="9" t="s">
        <v>58</v>
      </c>
      <c r="C16" s="146">
        <v>0.28000000000000003</v>
      </c>
      <c r="D16" s="52">
        <f t="shared" ref="D16:D20" si="0">C16*$D$5</f>
        <v>24.374897828378039</v>
      </c>
      <c r="H16" s="61"/>
      <c r="I16" s="212"/>
      <c r="J16" s="212"/>
      <c r="K16" s="210"/>
      <c r="L16" s="210"/>
    </row>
    <row r="17" spans="1:12">
      <c r="A17" s="9" t="s">
        <v>62</v>
      </c>
      <c r="C17" s="146">
        <v>0.11</v>
      </c>
      <c r="D17" s="52">
        <f t="shared" si="0"/>
        <v>9.5758527182913706</v>
      </c>
      <c r="H17" s="61"/>
      <c r="I17" s="212"/>
      <c r="J17" s="212"/>
      <c r="K17" s="210"/>
      <c r="L17" s="210"/>
    </row>
    <row r="18" spans="1:12">
      <c r="A18" s="9" t="s">
        <v>63</v>
      </c>
      <c r="C18" s="146">
        <v>7.0000000000000007E-2</v>
      </c>
      <c r="D18" s="52">
        <f t="shared" si="0"/>
        <v>6.0937244570945097</v>
      </c>
      <c r="H18" s="61"/>
      <c r="I18" s="212"/>
      <c r="K18" s="210"/>
      <c r="L18" s="210"/>
    </row>
    <row r="19" spans="1:12">
      <c r="A19" s="9" t="s">
        <v>64</v>
      </c>
      <c r="C19" s="146">
        <v>0.17</v>
      </c>
      <c r="D19" s="52">
        <f t="shared" si="0"/>
        <v>14.799045110086665</v>
      </c>
      <c r="H19" s="61"/>
      <c r="I19" s="212"/>
      <c r="J19" s="212"/>
      <c r="K19" s="210"/>
      <c r="L19" s="210"/>
    </row>
    <row r="20" spans="1:12">
      <c r="A20" s="14" t="s">
        <v>65</v>
      </c>
      <c r="B20" s="14"/>
      <c r="C20" s="147">
        <f>1-SUM(C16:C19,C13)</f>
        <v>0.14000000000000001</v>
      </c>
      <c r="D20" s="150">
        <f t="shared" si="0"/>
        <v>12.187448914189019</v>
      </c>
      <c r="H20" s="61"/>
      <c r="I20" s="212"/>
      <c r="J20" s="212"/>
      <c r="K20" s="210"/>
      <c r="L20" s="210"/>
    </row>
    <row r="21" spans="1:12">
      <c r="A21" s="9" t="s">
        <v>379</v>
      </c>
      <c r="C21" s="249">
        <f>D21/SUM($D$21:$D$22)</f>
        <v>0.33199999999999996</v>
      </c>
      <c r="D21" s="52">
        <f>(D14+D18+D19)</f>
        <v>28.901664567933956</v>
      </c>
      <c r="H21" s="61"/>
      <c r="I21" s="212"/>
      <c r="J21" s="212"/>
      <c r="K21" s="210"/>
      <c r="L21" s="210"/>
    </row>
    <row r="22" spans="1:12">
      <c r="A22" s="14" t="s">
        <v>378</v>
      </c>
      <c r="B22" s="14"/>
      <c r="C22" s="250">
        <f>D22/SUM($D$21:$D$22)</f>
        <v>0.66799999999999993</v>
      </c>
      <c r="D22" s="150">
        <f>(D15+D16+D17+D20)</f>
        <v>58.151541961987604</v>
      </c>
      <c r="H22" s="61"/>
      <c r="I22" s="212"/>
      <c r="J22" s="212"/>
      <c r="K22" s="210"/>
      <c r="L22" s="210"/>
    </row>
    <row r="24" spans="1:12" ht="21">
      <c r="A24" s="67" t="s">
        <v>79</v>
      </c>
    </row>
    <row r="25" spans="1:12">
      <c r="A25" s="68" t="s">
        <v>174</v>
      </c>
    </row>
    <row r="26" spans="1:12" ht="45.75" thickBot="1">
      <c r="A26" s="12" t="s">
        <v>376</v>
      </c>
      <c r="B26" s="12" t="s">
        <v>158</v>
      </c>
      <c r="C26" s="12" t="s">
        <v>81</v>
      </c>
      <c r="D26" s="12" t="s">
        <v>170</v>
      </c>
      <c r="E26" s="12" t="s">
        <v>171</v>
      </c>
      <c r="F26" s="13" t="s">
        <v>400</v>
      </c>
      <c r="G26" s="12" t="s">
        <v>129</v>
      </c>
      <c r="H26" s="157" t="s">
        <v>401</v>
      </c>
      <c r="I26" s="157" t="s">
        <v>144</v>
      </c>
      <c r="J26" s="13" t="s">
        <v>172</v>
      </c>
      <c r="K26" s="12" t="s">
        <v>111</v>
      </c>
      <c r="L26" s="13" t="s">
        <v>540</v>
      </c>
    </row>
    <row r="27" spans="1:12" ht="30.75" thickBot="1">
      <c r="A27" s="224" t="s">
        <v>475</v>
      </c>
      <c r="B27" s="225"/>
      <c r="C27" s="225"/>
      <c r="D27" s="225"/>
      <c r="E27" s="225"/>
      <c r="F27" s="226"/>
      <c r="G27" s="224" t="s">
        <v>178</v>
      </c>
      <c r="H27" s="229" t="s">
        <v>402</v>
      </c>
      <c r="I27" s="226" t="s">
        <v>402</v>
      </c>
      <c r="J27" s="227"/>
      <c r="K27" s="225"/>
      <c r="L27" s="226"/>
    </row>
    <row r="28" spans="1:12">
      <c r="A28" s="69"/>
      <c r="B28" s="69"/>
      <c r="C28" s="69"/>
      <c r="D28" s="69"/>
      <c r="E28" s="69"/>
      <c r="F28" s="153" t="s">
        <v>46</v>
      </c>
      <c r="G28" s="17" t="s">
        <v>132</v>
      </c>
      <c r="H28" s="153" t="s">
        <v>96</v>
      </c>
      <c r="I28" s="153" t="s">
        <v>70</v>
      </c>
      <c r="J28" s="17" t="s">
        <v>46</v>
      </c>
      <c r="K28" s="17" t="s">
        <v>67</v>
      </c>
      <c r="L28" s="153" t="s">
        <v>46</v>
      </c>
    </row>
    <row r="29" spans="1:12" ht="15" customHeight="1">
      <c r="A29" s="151" t="str">
        <f>Legend!$A$21</f>
        <v>Commercial Services</v>
      </c>
      <c r="B29" s="151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2.1558777590977449E-2</v>
      </c>
      <c r="G29" s="155">
        <v>0.33</v>
      </c>
      <c r="H29" s="160">
        <v>20</v>
      </c>
      <c r="I29" s="160">
        <v>1000</v>
      </c>
      <c r="J29" s="16">
        <f t="shared" ref="J29:J36" si="1">IF(F29=0,0,F29*G29)</f>
        <v>7.1143966050225584E-3</v>
      </c>
      <c r="K29" s="16">
        <f t="shared" ref="K29:K36" si="2">J29/(I29/8760*31.536)</f>
        <v>1.9762212791729328E-3</v>
      </c>
      <c r="L29" s="51"/>
    </row>
    <row r="30" spans="1:12" ht="15" customHeight="1">
      <c r="A30" s="108" t="str">
        <f>Legend!$A$21</f>
        <v>Commercial Services</v>
      </c>
      <c r="B30" s="108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5">
        <v>0.33</v>
      </c>
      <c r="H30" s="160">
        <v>20</v>
      </c>
      <c r="I30" s="160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8" t="str">
        <f>Legend!$A$21</f>
        <v>Commercial Services</v>
      </c>
      <c r="B31" s="108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2.1993251583722464</v>
      </c>
      <c r="G31" s="155">
        <v>0.6583558448972523</v>
      </c>
      <c r="H31" s="160">
        <v>20</v>
      </c>
      <c r="I31" s="160">
        <v>1000</v>
      </c>
      <c r="J31" s="16">
        <f t="shared" si="1"/>
        <v>1.4479385728439436</v>
      </c>
      <c r="K31" s="16">
        <f t="shared" si="2"/>
        <v>0.40220515912331767</v>
      </c>
      <c r="L31" s="51"/>
    </row>
    <row r="32" spans="1:12" ht="15" customHeight="1">
      <c r="A32" s="108" t="str">
        <f>Legend!$A$21</f>
        <v>Commercial Services</v>
      </c>
      <c r="B32" s="108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5.0421231610282113</v>
      </c>
      <c r="G32" s="155">
        <v>0.77299617086321282</v>
      </c>
      <c r="H32" s="160">
        <v>20</v>
      </c>
      <c r="I32" s="160">
        <v>1000</v>
      </c>
      <c r="J32" s="16">
        <f t="shared" si="1"/>
        <v>3.8975418964955262</v>
      </c>
      <c r="K32" s="16">
        <f t="shared" si="2"/>
        <v>1.0826505268043127</v>
      </c>
      <c r="L32" s="51"/>
    </row>
    <row r="33" spans="1:12" ht="15" customHeight="1">
      <c r="A33" s="108" t="str">
        <f>Legend!$A$21</f>
        <v>Commercial Services</v>
      </c>
      <c r="B33" s="108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0.16330273712698948</v>
      </c>
      <c r="G33" s="155">
        <v>0.63490443337371294</v>
      </c>
      <c r="H33" s="160">
        <v>20</v>
      </c>
      <c r="I33" s="160">
        <v>1000</v>
      </c>
      <c r="J33" s="16">
        <f t="shared" si="1"/>
        <v>0.10368163178398765</v>
      </c>
      <c r="K33" s="16">
        <f t="shared" si="2"/>
        <v>2.8800453273329901E-2</v>
      </c>
      <c r="L33" s="51"/>
    </row>
    <row r="34" spans="1:12" ht="15" customHeight="1">
      <c r="A34" s="108" t="str">
        <f>Legend!$A$21</f>
        <v>Commercial Services</v>
      </c>
      <c r="B34" s="108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5">
        <f>IF(F34=0,0.33,G44)</f>
        <v>0.33</v>
      </c>
      <c r="H34" s="160">
        <v>15</v>
      </c>
      <c r="I34" s="160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8" t="str">
        <f>Legend!$A$21</f>
        <v>Commercial Services</v>
      </c>
      <c r="B35" s="108" t="str">
        <f>Legend!$A$24</f>
        <v>Space heating</v>
      </c>
      <c r="C35" s="5" t="s">
        <v>168</v>
      </c>
      <c r="D35" s="5" t="str">
        <f>Legend!B43&amp;"-HP"</f>
        <v>ELC-HP</v>
      </c>
      <c r="E35" s="9" t="str">
        <f>Legend!C43</f>
        <v>SRVELC</v>
      </c>
      <c r="F35" s="51">
        <f>EB_SRV!G32</f>
        <v>0.60997510796959531</v>
      </c>
      <c r="G35" s="155">
        <v>2.7470543738547222</v>
      </c>
      <c r="H35" s="160">
        <v>10</v>
      </c>
      <c r="I35" s="160">
        <v>1000</v>
      </c>
      <c r="J35" s="16">
        <f t="shared" si="1"/>
        <v>1.6756347882903833</v>
      </c>
      <c r="K35" s="16">
        <f t="shared" si="2"/>
        <v>0.46545410785843977</v>
      </c>
      <c r="L35" s="51">
        <f>EB_SRV!G34</f>
        <v>0.65533684376361445</v>
      </c>
    </row>
    <row r="36" spans="1:12" ht="15" customHeight="1">
      <c r="A36" s="152" t="str">
        <f>Legend!$A$21</f>
        <v>Commercial Services</v>
      </c>
      <c r="B36" s="152" t="str">
        <f>Legend!$A$24</f>
        <v>Space heating</v>
      </c>
      <c r="C36" s="10" t="s">
        <v>169</v>
      </c>
      <c r="D36" s="10" t="str">
        <f>Legend!B43</f>
        <v>ELC</v>
      </c>
      <c r="E36" s="10" t="str">
        <f>Legend!C43</f>
        <v>SRVELC</v>
      </c>
      <c r="F36" s="154">
        <f>EB_SRV!G33</f>
        <v>2.6366528639449123</v>
      </c>
      <c r="G36" s="156">
        <v>0.81595511259153475</v>
      </c>
      <c r="H36" s="161">
        <v>10</v>
      </c>
      <c r="I36" s="161">
        <v>1000</v>
      </c>
      <c r="J36" s="18">
        <f t="shared" si="1"/>
        <v>2.1513903844649636</v>
      </c>
      <c r="K36" s="18">
        <f t="shared" si="2"/>
        <v>0.59760844012915648</v>
      </c>
      <c r="L36" s="154"/>
    </row>
    <row r="37" spans="1:12" ht="15" customHeight="1">
      <c r="A37" s="254" t="str">
        <f>Legend!$A$21</f>
        <v>Commercial Services</v>
      </c>
      <c r="B37" s="253" t="str">
        <f>Legend!$A$24</f>
        <v>Space heating</v>
      </c>
      <c r="C37" s="113" t="s">
        <v>389</v>
      </c>
      <c r="D37" s="252"/>
      <c r="E37" s="252"/>
      <c r="F37" s="217">
        <f>SUM(F29:F36)</f>
        <v>10.672937806032932</v>
      </c>
      <c r="G37" s="271"/>
      <c r="H37" s="255"/>
      <c r="I37" s="255"/>
      <c r="J37" s="251">
        <f>SUM(J29:J36)</f>
        <v>9.2833016704838283</v>
      </c>
      <c r="K37" s="251">
        <f>SUM(K29:K36)</f>
        <v>2.5786949084677295</v>
      </c>
      <c r="L37" s="217"/>
    </row>
    <row r="38" spans="1:12" ht="15" customHeight="1">
      <c r="A38" s="108" t="str">
        <f>Legend!$A$21</f>
        <v>Commercial Services</v>
      </c>
      <c r="B38" s="108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5">
        <v>0.33</v>
      </c>
      <c r="H38" s="162">
        <v>20</v>
      </c>
      <c r="I38" s="162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8" t="str">
        <f>Legend!$A$21</f>
        <v>Commercial Services</v>
      </c>
      <c r="B39" s="108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5">
        <v>0.33</v>
      </c>
      <c r="H39" s="162">
        <v>20</v>
      </c>
      <c r="I39" s="162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8" t="str">
        <f>Legend!$A$21</f>
        <v>Commercial Services</v>
      </c>
      <c r="B40" s="108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0.65142509362775403</v>
      </c>
      <c r="G40" s="155">
        <v>0.59834963673469854</v>
      </c>
      <c r="H40" s="162">
        <v>20</v>
      </c>
      <c r="I40" s="162">
        <v>200</v>
      </c>
      <c r="J40" s="16">
        <f t="shared" si="3"/>
        <v>0.38977996813203358</v>
      </c>
      <c r="K40" s="16">
        <f t="shared" si="4"/>
        <v>0.5413610668500467</v>
      </c>
      <c r="L40" s="51"/>
    </row>
    <row r="41" spans="1:12" ht="15" customHeight="1">
      <c r="A41" s="108" t="str">
        <f>Legend!$A$21</f>
        <v>Commercial Services</v>
      </c>
      <c r="B41" s="108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1.4850059755115566</v>
      </c>
      <c r="G41" s="155">
        <v>0.63024757853709534</v>
      </c>
      <c r="H41" s="162">
        <v>20</v>
      </c>
      <c r="I41" s="162">
        <v>200</v>
      </c>
      <c r="J41" s="16">
        <f t="shared" si="3"/>
        <v>0.9359214201792756</v>
      </c>
      <c r="K41" s="16">
        <f t="shared" si="4"/>
        <v>1.299890861360105</v>
      </c>
      <c r="L41" s="51"/>
    </row>
    <row r="42" spans="1:12" ht="15" customHeight="1">
      <c r="A42" s="108" t="str">
        <f>Legend!$A$21</f>
        <v>Commercial Services</v>
      </c>
      <c r="B42" s="108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5">
        <v>0.33</v>
      </c>
      <c r="H42" s="162">
        <v>20</v>
      </c>
      <c r="I42" s="162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8" t="str">
        <f>Legend!$A$21</f>
        <v>Commercial Services</v>
      </c>
      <c r="B43" s="108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1.4958291819727545</v>
      </c>
      <c r="G43" s="155">
        <v>0.7791533881609447</v>
      </c>
      <c r="H43" s="162">
        <v>10</v>
      </c>
      <c r="I43" s="162">
        <v>200</v>
      </c>
      <c r="J43" s="16">
        <f t="shared" si="3"/>
        <v>1.1654803752440859</v>
      </c>
      <c r="K43" s="16">
        <f t="shared" si="4"/>
        <v>1.6187227433945637</v>
      </c>
      <c r="L43" s="51"/>
    </row>
    <row r="44" spans="1:12" ht="15" customHeight="1">
      <c r="A44" s="152" t="str">
        <f>Legend!$A$21</f>
        <v>Commercial Services</v>
      </c>
      <c r="B44" s="152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4">
        <f>EB_SRV!G43</f>
        <v>6.9707984942638888E-3</v>
      </c>
      <c r="G44" s="156">
        <v>0.99999999999999989</v>
      </c>
      <c r="H44" s="163">
        <v>15</v>
      </c>
      <c r="I44" s="163">
        <v>200</v>
      </c>
      <c r="J44" s="18">
        <f t="shared" si="3"/>
        <v>6.9707984942638879E-3</v>
      </c>
      <c r="K44" s="18">
        <f t="shared" si="4"/>
        <v>9.6816645753665109E-3</v>
      </c>
      <c r="L44" s="154"/>
    </row>
    <row r="45" spans="1:12" ht="15" customHeight="1">
      <c r="A45" s="254" t="str">
        <f>Legend!$A$21</f>
        <v>Commercial Services</v>
      </c>
      <c r="B45" s="253" t="str">
        <f>Legend!$A$25</f>
        <v>Water heating</v>
      </c>
      <c r="C45" s="113" t="s">
        <v>389</v>
      </c>
      <c r="D45" s="252"/>
      <c r="E45" s="252"/>
      <c r="F45" s="217">
        <f>SUM(F38:F44)</f>
        <v>3.6392310496063289</v>
      </c>
      <c r="G45" s="271"/>
      <c r="H45" s="255"/>
      <c r="I45" s="255"/>
      <c r="J45" s="217">
        <f t="shared" ref="J45:K45" si="5">SUM(J38:J44)</f>
        <v>2.498152562049659</v>
      </c>
      <c r="K45" s="251">
        <f t="shared" si="5"/>
        <v>3.4696563361800816</v>
      </c>
      <c r="L45" s="217"/>
    </row>
    <row r="46" spans="1:12" ht="15" customHeight="1">
      <c r="A46" s="108" t="str">
        <f>Legend!$A$21</f>
        <v>Commercial Services</v>
      </c>
      <c r="B46" s="108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4.83800849008598E-3</v>
      </c>
      <c r="G46" s="155">
        <v>2.7679848891515557</v>
      </c>
      <c r="H46" s="162">
        <v>15</v>
      </c>
      <c r="I46" s="162">
        <v>300</v>
      </c>
      <c r="J46" s="16">
        <f>IF(F46=0,0,F46*G46)</f>
        <v>1.3391534394144927E-2</v>
      </c>
      <c r="K46" s="16">
        <f>J46/(I46/8760*31.536)</f>
        <v>1.2399568883467525E-2</v>
      </c>
      <c r="L46" s="51"/>
    </row>
    <row r="47" spans="1:12" ht="15" customHeight="1">
      <c r="A47" s="152" t="str">
        <f>Legend!$A$21</f>
        <v>Commercial Services</v>
      </c>
      <c r="B47" s="152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4">
        <f>EB_SRV!G46</f>
        <v>1.3121095339798998</v>
      </c>
      <c r="G47" s="156">
        <v>2.7466471585410193</v>
      </c>
      <c r="H47" s="163">
        <v>15</v>
      </c>
      <c r="I47" s="163">
        <v>300</v>
      </c>
      <c r="J47" s="18">
        <f>IF(F47=0,0,F47*G47)</f>
        <v>3.603901923200473</v>
      </c>
      <c r="K47" s="18">
        <f>J47/(I47/8760*31.536)</f>
        <v>3.3369462251856228</v>
      </c>
      <c r="L47" s="154"/>
    </row>
    <row r="48" spans="1:12" ht="15" customHeight="1">
      <c r="A48" s="254" t="str">
        <f>Legend!$A$21</f>
        <v>Commercial Services</v>
      </c>
      <c r="B48" s="253" t="str">
        <f>Legend!$A$26</f>
        <v>Space cooling</v>
      </c>
      <c r="C48" s="113" t="s">
        <v>389</v>
      </c>
      <c r="D48" s="252"/>
      <c r="E48" s="252"/>
      <c r="F48" s="217">
        <f>SUM(F46:F47)</f>
        <v>1.3169475424699859</v>
      </c>
      <c r="G48" s="271"/>
      <c r="H48" s="255"/>
      <c r="I48" s="255"/>
      <c r="J48" s="217">
        <f t="shared" ref="J48:K48" si="6">SUM(J46:J47)</f>
        <v>3.6172934575946178</v>
      </c>
      <c r="K48" s="251">
        <f t="shared" si="6"/>
        <v>3.3493457940690905</v>
      </c>
      <c r="L48" s="217"/>
    </row>
    <row r="49" spans="1:12" ht="15" customHeight="1">
      <c r="A49" s="5" t="str">
        <f>Legend!$A$22</f>
        <v>Public Services</v>
      </c>
      <c r="B49" s="108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2.0930852030075187E-4</v>
      </c>
      <c r="G49" s="155">
        <f t="shared" ref="G49:I56" si="8">G29</f>
        <v>0.33</v>
      </c>
      <c r="H49" s="160">
        <f t="shared" si="8"/>
        <v>20</v>
      </c>
      <c r="I49" s="160">
        <f t="shared" si="8"/>
        <v>1000</v>
      </c>
      <c r="J49" s="16">
        <f t="shared" ref="J49:J56" si="9">IF(F49=0,0,F49*G49)</f>
        <v>6.9071811699248116E-5</v>
      </c>
      <c r="K49" s="16">
        <f t="shared" ref="K49:K56" si="10">J49/(I49/8760*31.536)</f>
        <v>1.9186614360902255E-5</v>
      </c>
      <c r="L49" s="51"/>
    </row>
    <row r="50" spans="1:12" ht="15" customHeight="1">
      <c r="A50" s="5" t="str">
        <f>Legend!$A$22</f>
        <v>Public Services</v>
      </c>
      <c r="B50" s="108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5">
        <f t="shared" si="8"/>
        <v>0.33</v>
      </c>
      <c r="H50" s="160">
        <f t="shared" si="8"/>
        <v>20</v>
      </c>
      <c r="I50" s="160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8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3.3028750499799471</v>
      </c>
      <c r="G51" s="155">
        <f t="shared" si="8"/>
        <v>0.6583558448972523</v>
      </c>
      <c r="H51" s="160">
        <f t="shared" si="8"/>
        <v>20</v>
      </c>
      <c r="I51" s="160">
        <f t="shared" si="8"/>
        <v>1000</v>
      </c>
      <c r="J51" s="16">
        <f t="shared" si="9"/>
        <v>2.1744670941196023</v>
      </c>
      <c r="K51" s="16">
        <f t="shared" si="10"/>
        <v>0.60401863725544502</v>
      </c>
      <c r="L51" s="51"/>
    </row>
    <row r="52" spans="1:12" ht="15" customHeight="1">
      <c r="A52" s="5" t="str">
        <f>Legend!$A$22</f>
        <v>Public Services</v>
      </c>
      <c r="B52" s="108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3.1629785055831725</v>
      </c>
      <c r="G52" s="155">
        <f t="shared" si="8"/>
        <v>0.77299617086321282</v>
      </c>
      <c r="H52" s="160">
        <f t="shared" si="8"/>
        <v>20</v>
      </c>
      <c r="I52" s="160">
        <f t="shared" si="8"/>
        <v>1000</v>
      </c>
      <c r="J52" s="16">
        <f t="shared" si="9"/>
        <v>2.4449702733384395</v>
      </c>
      <c r="K52" s="16">
        <f t="shared" si="10"/>
        <v>0.67915840926067761</v>
      </c>
      <c r="L52" s="51"/>
    </row>
    <row r="53" spans="1:12">
      <c r="A53" s="5" t="str">
        <f>Legend!$A$22</f>
        <v>Public Services</v>
      </c>
      <c r="B53" s="108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0.59003334698845478</v>
      </c>
      <c r="G53" s="155">
        <f t="shared" si="8"/>
        <v>0.63490443337371294</v>
      </c>
      <c r="H53" s="160">
        <f t="shared" si="8"/>
        <v>20</v>
      </c>
      <c r="I53" s="160">
        <f t="shared" si="8"/>
        <v>1000</v>
      </c>
      <c r="J53" s="16">
        <f t="shared" si="9"/>
        <v>0.37461478784130026</v>
      </c>
      <c r="K53" s="16">
        <f t="shared" si="10"/>
        <v>0.10405966328925007</v>
      </c>
      <c r="L53" s="51"/>
    </row>
    <row r="54" spans="1:12">
      <c r="A54" s="5" t="str">
        <f>Legend!$A$22</f>
        <v>Public Services</v>
      </c>
      <c r="B54" s="108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5">
        <f t="shared" si="8"/>
        <v>0.33</v>
      </c>
      <c r="H54" s="160">
        <f t="shared" si="8"/>
        <v>15</v>
      </c>
      <c r="I54" s="160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8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0.18908590376778286</v>
      </c>
      <c r="G55" s="155">
        <f t="shared" si="8"/>
        <v>2.7470543738547222</v>
      </c>
      <c r="H55" s="160">
        <f t="shared" si="8"/>
        <v>10</v>
      </c>
      <c r="I55" s="160">
        <f t="shared" si="8"/>
        <v>1000</v>
      </c>
      <c r="J55" s="16">
        <f t="shared" si="9"/>
        <v>0.51942925897956105</v>
      </c>
      <c r="K55" s="16">
        <f t="shared" si="10"/>
        <v>0.14428590527210028</v>
      </c>
      <c r="L55" s="51">
        <f>EB_SRV!G73</f>
        <v>0</v>
      </c>
    </row>
    <row r="56" spans="1:12">
      <c r="A56" s="10" t="str">
        <f>Legend!$A$22</f>
        <v>Public Services</v>
      </c>
      <c r="B56" s="152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4">
        <f>EB_SRV!G72</f>
        <v>0.81733481118673368</v>
      </c>
      <c r="G56" s="156">
        <f t="shared" si="8"/>
        <v>0.81595511259153475</v>
      </c>
      <c r="H56" s="161">
        <f t="shared" si="8"/>
        <v>10</v>
      </c>
      <c r="I56" s="161">
        <f t="shared" si="8"/>
        <v>1000</v>
      </c>
      <c r="J56" s="18">
        <f t="shared" si="9"/>
        <v>0.66690851788685213</v>
      </c>
      <c r="K56" s="18">
        <f t="shared" si="10"/>
        <v>0.18525236607968115</v>
      </c>
      <c r="L56" s="154"/>
    </row>
    <row r="57" spans="1:12">
      <c r="A57" s="254" t="str">
        <f>Legend!$A$22</f>
        <v>Public Services</v>
      </c>
      <c r="B57" s="253" t="str">
        <f>Legend!$A$24</f>
        <v>Space heating</v>
      </c>
      <c r="C57" s="113" t="s">
        <v>389</v>
      </c>
      <c r="D57" s="252"/>
      <c r="E57" s="252"/>
      <c r="F57" s="217">
        <f>SUM(F49:F56)</f>
        <v>8.062516926026392</v>
      </c>
      <c r="G57" s="271"/>
      <c r="H57" s="255"/>
      <c r="I57" s="255"/>
      <c r="J57" s="251">
        <f>SUM(J49:J56)</f>
        <v>6.1804590039774538</v>
      </c>
      <c r="K57" s="251">
        <f>SUM(K49:K56)</f>
        <v>1.7167941677715153</v>
      </c>
      <c r="L57" s="217"/>
    </row>
    <row r="58" spans="1:12">
      <c r="A58" s="5" t="str">
        <f>Legend!$A$22</f>
        <v>Public Services</v>
      </c>
      <c r="B58" s="108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5">
        <f t="shared" ref="G58:I64" si="13">G38</f>
        <v>0.33</v>
      </c>
      <c r="H58" s="162">
        <f t="shared" si="13"/>
        <v>20</v>
      </c>
      <c r="I58" s="162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8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5">
        <f t="shared" si="13"/>
        <v>0.33</v>
      </c>
      <c r="H59" s="162">
        <f t="shared" si="13"/>
        <v>20</v>
      </c>
      <c r="I59" s="162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8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0.97828903583605309</v>
      </c>
      <c r="G60" s="155">
        <f t="shared" si="13"/>
        <v>0.59834963673469854</v>
      </c>
      <c r="H60" s="162">
        <f t="shared" si="13"/>
        <v>20</v>
      </c>
      <c r="I60" s="162">
        <f t="shared" si="13"/>
        <v>200</v>
      </c>
      <c r="J60" s="16">
        <f t="shared" si="14"/>
        <v>0.58535888921404089</v>
      </c>
      <c r="K60" s="16">
        <f t="shared" si="15"/>
        <v>0.81299845724172348</v>
      </c>
      <c r="L60" s="51"/>
    </row>
    <row r="61" spans="1:12">
      <c r="A61" s="5" t="str">
        <f>Legend!$A$22</f>
        <v>Public Services</v>
      </c>
      <c r="B61" s="108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0.87802316403121061</v>
      </c>
      <c r="G61" s="155">
        <f t="shared" si="13"/>
        <v>0.63024757853709534</v>
      </c>
      <c r="H61" s="162">
        <f t="shared" si="13"/>
        <v>20</v>
      </c>
      <c r="I61" s="162">
        <f t="shared" si="13"/>
        <v>200</v>
      </c>
      <c r="J61" s="16">
        <f t="shared" si="14"/>
        <v>0.5533719730301494</v>
      </c>
      <c r="K61" s="16">
        <f t="shared" si="15"/>
        <v>0.76857218476409639</v>
      </c>
      <c r="L61" s="51"/>
    </row>
    <row r="62" spans="1:12">
      <c r="A62" s="5" t="str">
        <f>Legend!$A$22</f>
        <v>Public Services</v>
      </c>
      <c r="B62" s="108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5">
        <f t="shared" si="13"/>
        <v>0.33</v>
      </c>
      <c r="H62" s="162">
        <f t="shared" si="13"/>
        <v>20</v>
      </c>
      <c r="I62" s="162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8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0.4636914016000141</v>
      </c>
      <c r="G63" s="155">
        <f t="shared" si="13"/>
        <v>0.7791533881609447</v>
      </c>
      <c r="H63" s="162">
        <f t="shared" si="13"/>
        <v>10</v>
      </c>
      <c r="I63" s="162">
        <f t="shared" si="13"/>
        <v>200</v>
      </c>
      <c r="J63" s="16">
        <f t="shared" si="14"/>
        <v>0.3612867266177483</v>
      </c>
      <c r="K63" s="16">
        <f t="shared" si="15"/>
        <v>0.50178712030242822</v>
      </c>
      <c r="L63" s="51"/>
    </row>
    <row r="64" spans="1:12">
      <c r="A64" s="10" t="str">
        <f>Legend!$A$22</f>
        <v>Public Services</v>
      </c>
      <c r="B64" s="152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4">
        <f>EB_SRV!G82</f>
        <v>0</v>
      </c>
      <c r="G64" s="156">
        <f t="shared" si="13"/>
        <v>0.99999999999999989</v>
      </c>
      <c r="H64" s="163">
        <f t="shared" si="13"/>
        <v>15</v>
      </c>
      <c r="I64" s="163">
        <f t="shared" si="13"/>
        <v>200</v>
      </c>
      <c r="J64" s="18">
        <f t="shared" si="14"/>
        <v>0</v>
      </c>
      <c r="K64" s="18">
        <f t="shared" si="15"/>
        <v>0</v>
      </c>
      <c r="L64" s="154"/>
    </row>
    <row r="65" spans="1:12">
      <c r="A65" s="254" t="str">
        <f>Legend!$A$22</f>
        <v>Public Services</v>
      </c>
      <c r="B65" s="253" t="str">
        <f>Legend!$A$25</f>
        <v>Water heating</v>
      </c>
      <c r="C65" s="113" t="s">
        <v>389</v>
      </c>
      <c r="D65" s="252"/>
      <c r="E65" s="252"/>
      <c r="F65" s="217">
        <f>SUM(F58:F64)</f>
        <v>2.3200036014672776</v>
      </c>
      <c r="G65" s="271"/>
      <c r="H65" s="255"/>
      <c r="I65" s="255"/>
      <c r="J65" s="217">
        <f t="shared" ref="J65" si="16">SUM(J58:J64)</f>
        <v>1.5000175888619385</v>
      </c>
      <c r="K65" s="251">
        <f t="shared" ref="K65" si="17">SUM(K58:K64)</f>
        <v>2.083357762308248</v>
      </c>
      <c r="L65" s="217"/>
    </row>
    <row r="66" spans="1:12">
      <c r="A66" s="5" t="str">
        <f>Legend!$A$22</f>
        <v>Public Services</v>
      </c>
      <c r="B66" s="108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2.8605161138236072E-3</v>
      </c>
      <c r="G66" s="155">
        <f t="shared" ref="G66:I67" si="18">G46</f>
        <v>2.7679848891515557</v>
      </c>
      <c r="H66" s="162">
        <f t="shared" si="18"/>
        <v>15</v>
      </c>
      <c r="I66" s="162">
        <f t="shared" si="18"/>
        <v>300</v>
      </c>
      <c r="J66" s="16">
        <f>IF(F66=0,0,F66*G66)</f>
        <v>7.9178653782382771E-3</v>
      </c>
      <c r="K66" s="16">
        <f>J66/(I66/8760*31.536)</f>
        <v>7.331356831702108E-3</v>
      </c>
      <c r="L66" s="51"/>
    </row>
    <row r="67" spans="1:12">
      <c r="A67" s="10" t="str">
        <f>Legend!$A$22</f>
        <v>Public Services</v>
      </c>
      <c r="B67" s="152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4">
        <f>EB_SRV!G85</f>
        <v>0.40674023223793676</v>
      </c>
      <c r="G67" s="156">
        <f t="shared" si="18"/>
        <v>2.7466471585410193</v>
      </c>
      <c r="H67" s="163">
        <f t="shared" si="18"/>
        <v>15</v>
      </c>
      <c r="I67" s="256">
        <f t="shared" si="18"/>
        <v>300</v>
      </c>
      <c r="J67" s="18">
        <f>IF(F67=0,0,F67*G67)</f>
        <v>1.1171719031406433</v>
      </c>
      <c r="K67" s="18">
        <f>J67/(I67/8760*31.536)</f>
        <v>1.0344184288339289</v>
      </c>
      <c r="L67" s="154"/>
    </row>
    <row r="68" spans="1:12">
      <c r="A68" s="254" t="str">
        <f>Legend!$A$22</f>
        <v>Public Services</v>
      </c>
      <c r="B68" s="253" t="str">
        <f>Legend!$A$26</f>
        <v>Space cooling</v>
      </c>
      <c r="C68" s="113" t="s">
        <v>389</v>
      </c>
      <c r="D68" s="252"/>
      <c r="E68" s="252"/>
      <c r="F68" s="217">
        <f>SUM(F66:F67)</f>
        <v>0.40960074835176036</v>
      </c>
      <c r="G68" s="271"/>
      <c r="H68" s="255"/>
      <c r="I68" s="255"/>
      <c r="J68" s="217">
        <f t="shared" ref="J68" si="19">SUM(J66:J67)</f>
        <v>1.1250897685188816</v>
      </c>
      <c r="K68" s="251">
        <f t="shared" ref="K68" si="20">SUM(K66:K67)</f>
        <v>1.041749785665631</v>
      </c>
      <c r="L68" s="217"/>
    </row>
    <row r="69" spans="1:12">
      <c r="C69" s="164"/>
      <c r="E69" s="164" t="s">
        <v>145</v>
      </c>
      <c r="F69" s="76">
        <f>SUM(F37,F45,F48,F57,F65,F68)</f>
        <v>26.421237673954675</v>
      </c>
      <c r="G69" s="15"/>
      <c r="H69" s="15"/>
      <c r="I69" s="15"/>
      <c r="J69" s="76">
        <f t="shared" ref="J69:K69" si="21">SUM(J37,J45,J48,J57,J65,J68)</f>
        <v>24.204314051486378</v>
      </c>
      <c r="K69" s="76">
        <f t="shared" si="21"/>
        <v>14.239598754462298</v>
      </c>
    </row>
    <row r="71" spans="1:12">
      <c r="A71" s="68" t="s">
        <v>404</v>
      </c>
    </row>
    <row r="72" spans="1:12" ht="45.75" thickBot="1">
      <c r="A72" s="12" t="s">
        <v>376</v>
      </c>
      <c r="B72" s="12" t="s">
        <v>158</v>
      </c>
      <c r="C72" s="12" t="s">
        <v>81</v>
      </c>
      <c r="D72" s="12" t="s">
        <v>170</v>
      </c>
      <c r="E72" s="12" t="s">
        <v>171</v>
      </c>
      <c r="F72" s="13" t="s">
        <v>400</v>
      </c>
      <c r="G72" s="12" t="s">
        <v>129</v>
      </c>
      <c r="H72" s="157" t="s">
        <v>401</v>
      </c>
      <c r="I72" s="157" t="s">
        <v>144</v>
      </c>
      <c r="J72" s="157" t="s">
        <v>403</v>
      </c>
      <c r="K72" s="157" t="s">
        <v>172</v>
      </c>
      <c r="L72" s="12" t="s">
        <v>111</v>
      </c>
    </row>
    <row r="73" spans="1:12" ht="30.75" thickBot="1">
      <c r="A73" s="224" t="s">
        <v>475</v>
      </c>
      <c r="B73" s="225"/>
      <c r="C73" s="225"/>
      <c r="D73" s="225"/>
      <c r="E73" s="225"/>
      <c r="F73" s="227"/>
      <c r="G73" s="226" t="s">
        <v>178</v>
      </c>
      <c r="H73" s="226" t="s">
        <v>402</v>
      </c>
      <c r="I73" s="226" t="s">
        <v>402</v>
      </c>
      <c r="J73" s="226" t="s">
        <v>402</v>
      </c>
      <c r="K73" s="228"/>
      <c r="L73" s="225"/>
    </row>
    <row r="74" spans="1:12">
      <c r="A74" s="69"/>
      <c r="B74" s="69"/>
      <c r="C74" s="69"/>
      <c r="D74" s="69"/>
      <c r="E74" s="69"/>
      <c r="F74" s="153" t="s">
        <v>46</v>
      </c>
      <c r="G74" s="17" t="s">
        <v>132</v>
      </c>
      <c r="H74" s="153" t="s">
        <v>96</v>
      </c>
      <c r="I74" s="153" t="s">
        <v>70</v>
      </c>
      <c r="J74" s="153" t="s">
        <v>173</v>
      </c>
      <c r="K74" s="17" t="s">
        <v>46</v>
      </c>
      <c r="L74" s="17" t="s">
        <v>405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1.7196908257766739</v>
      </c>
      <c r="G75" s="155">
        <v>0.48571820894923945</v>
      </c>
      <c r="H75" s="158">
        <v>15</v>
      </c>
      <c r="I75" s="158">
        <v>800</v>
      </c>
      <c r="J75" s="158">
        <v>15</v>
      </c>
      <c r="K75" s="16">
        <f t="shared" ref="K75:K83" si="22">IF(F75=0,0,F75*G75)</f>
        <v>0.83528514784268459</v>
      </c>
      <c r="L75" s="16">
        <f>K75/(I75/8760*31.536)/(J75/1000)</f>
        <v>19.335304348210293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2.1481757143230484</v>
      </c>
      <c r="G76" s="155">
        <v>0.5299882794392895</v>
      </c>
      <c r="H76" s="158">
        <v>15</v>
      </c>
      <c r="I76" s="158">
        <v>800</v>
      </c>
      <c r="J76" s="158">
        <v>15</v>
      </c>
      <c r="K76" s="51">
        <f t="shared" si="22"/>
        <v>1.138507950767339</v>
      </c>
      <c r="L76" s="51">
        <f t="shared" ref="L76:L83" si="23">K76/(I76/8760*31.536)/(J76/1000)</f>
        <v>26.354350712206923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5">
        <v>0.33</v>
      </c>
      <c r="H77" s="158">
        <v>15</v>
      </c>
      <c r="I77" s="158">
        <v>800</v>
      </c>
      <c r="J77" s="158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4">
        <f>EB_SRV!G51</f>
        <v>2.8558733169436508</v>
      </c>
      <c r="G78" s="156">
        <v>0.67758189334652785</v>
      </c>
      <c r="H78" s="165">
        <v>15</v>
      </c>
      <c r="I78" s="165">
        <v>800</v>
      </c>
      <c r="J78" s="165">
        <v>15</v>
      </c>
      <c r="K78" s="154">
        <f t="shared" si="22"/>
        <v>1.9350880492525075</v>
      </c>
      <c r="L78" s="154">
        <f t="shared" si="23"/>
        <v>44.793704843808051</v>
      </c>
    </row>
    <row r="79" spans="1:12">
      <c r="A79" s="222" t="str">
        <f>Legend!$A$21</f>
        <v>Commercial Services</v>
      </c>
      <c r="B79" s="275" t="str">
        <f>Legend!$A$28</f>
        <v>Cooking</v>
      </c>
      <c r="C79" s="113" t="s">
        <v>389</v>
      </c>
      <c r="D79" s="214"/>
      <c r="E79" s="214"/>
      <c r="F79" s="217">
        <f>SUM(F75:F78)</f>
        <v>6.7237398570433733</v>
      </c>
      <c r="G79" s="271"/>
      <c r="H79" s="277"/>
      <c r="I79" s="277"/>
      <c r="J79" s="277"/>
      <c r="K79" s="217">
        <f t="shared" ref="K79:L79" si="24">SUM(K75:K78)</f>
        <v>3.9088811478625312</v>
      </c>
      <c r="L79" s="217">
        <f t="shared" si="24"/>
        <v>90.483359904225267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1.2330251639585386</v>
      </c>
      <c r="G80" s="155">
        <f t="shared" ref="G80:H83" si="25">G75</f>
        <v>0.48571820894923945</v>
      </c>
      <c r="H80" s="158">
        <f t="shared" si="25"/>
        <v>15</v>
      </c>
      <c r="I80" s="158">
        <f t="shared" ref="I80" si="26">I75</f>
        <v>800</v>
      </c>
      <c r="J80" s="158">
        <f t="shared" ref="J80" si="27">J75</f>
        <v>15</v>
      </c>
      <c r="K80" s="51">
        <f t="shared" si="22"/>
        <v>0.59890277422728366</v>
      </c>
      <c r="L80" s="51">
        <f t="shared" si="23"/>
        <v>13.863490144150086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1.2701282477568392</v>
      </c>
      <c r="G81" s="155">
        <f t="shared" si="25"/>
        <v>0.5299882794392895</v>
      </c>
      <c r="H81" s="158">
        <f t="shared" si="25"/>
        <v>15</v>
      </c>
      <c r="I81" s="158">
        <f>I76</f>
        <v>800</v>
      </c>
      <c r="J81" s="158">
        <f t="shared" ref="J81" si="28">J76</f>
        <v>15</v>
      </c>
      <c r="K81" s="51">
        <f t="shared" si="22"/>
        <v>0.67315308469588686</v>
      </c>
      <c r="L81" s="51">
        <f t="shared" si="23"/>
        <v>15.582247330923309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5">
        <f t="shared" si="25"/>
        <v>0.33</v>
      </c>
      <c r="H82" s="158">
        <f t="shared" si="25"/>
        <v>15</v>
      </c>
      <c r="I82" s="158">
        <f>I77</f>
        <v>800</v>
      </c>
      <c r="J82" s="158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4">
        <f>EB_SRV!G90</f>
        <v>0.88529085879927893</v>
      </c>
      <c r="G83" s="156">
        <f t="shared" si="25"/>
        <v>0.67758189334652785</v>
      </c>
      <c r="H83" s="165">
        <f t="shared" si="25"/>
        <v>15</v>
      </c>
      <c r="I83" s="165">
        <f>I78</f>
        <v>800</v>
      </c>
      <c r="J83" s="165">
        <f t="shared" ref="J83" si="30">J78</f>
        <v>15</v>
      </c>
      <c r="K83" s="154">
        <f t="shared" si="22"/>
        <v>0.59985705626758912</v>
      </c>
      <c r="L83" s="154">
        <f t="shared" si="23"/>
        <v>13.885580006194193</v>
      </c>
    </row>
    <row r="84" spans="1:12">
      <c r="A84" s="278" t="str">
        <f>Legend!$A$22</f>
        <v>Public Services</v>
      </c>
      <c r="B84" s="279" t="str">
        <f>Legend!$A$28</f>
        <v>Cooking</v>
      </c>
      <c r="C84" s="113" t="s">
        <v>389</v>
      </c>
      <c r="D84" s="252"/>
      <c r="E84" s="252"/>
      <c r="F84" s="217">
        <f>SUM(F80:F83)</f>
        <v>3.3884442705146567</v>
      </c>
      <c r="G84" s="271"/>
      <c r="H84" s="277"/>
      <c r="I84" s="277"/>
      <c r="J84" s="277"/>
      <c r="K84" s="217">
        <f t="shared" ref="K84" si="31">SUM(K80:K83)</f>
        <v>1.8719129151907596</v>
      </c>
      <c r="L84" s="217">
        <f t="shared" ref="L84" si="32">SUM(L80:L83)</f>
        <v>43.33131748126759</v>
      </c>
    </row>
    <row r="85" spans="1:12">
      <c r="E85" s="164" t="s">
        <v>145</v>
      </c>
      <c r="F85" s="76">
        <f>F79+F84</f>
        <v>10.112184127558031</v>
      </c>
      <c r="K85" s="76">
        <f>K79+K84</f>
        <v>5.7807940630532908</v>
      </c>
      <c r="L85" s="76">
        <f>L79+L84</f>
        <v>133.81467738549287</v>
      </c>
    </row>
    <row r="87" spans="1:12">
      <c r="A87" s="68" t="s">
        <v>406</v>
      </c>
    </row>
    <row r="88" spans="1:12" ht="30.75" thickBot="1">
      <c r="A88" s="12" t="s">
        <v>376</v>
      </c>
      <c r="B88" s="12" t="s">
        <v>158</v>
      </c>
      <c r="C88" s="12" t="s">
        <v>81</v>
      </c>
      <c r="D88" s="12" t="s">
        <v>170</v>
      </c>
      <c r="E88" s="12" t="s">
        <v>171</v>
      </c>
      <c r="F88" s="13" t="s">
        <v>400</v>
      </c>
      <c r="G88" s="12" t="s">
        <v>129</v>
      </c>
      <c r="H88" s="157" t="s">
        <v>401</v>
      </c>
      <c r="I88" s="12" t="s">
        <v>172</v>
      </c>
      <c r="J88" s="12" t="s">
        <v>111</v>
      </c>
    </row>
    <row r="89" spans="1:12" ht="30.75" thickBot="1">
      <c r="A89" s="224" t="s">
        <v>475</v>
      </c>
      <c r="B89" s="225"/>
      <c r="C89" s="225"/>
      <c r="D89" s="225"/>
      <c r="E89" s="225"/>
      <c r="F89" s="227"/>
      <c r="H89" s="229" t="s">
        <v>402</v>
      </c>
      <c r="I89" s="224"/>
      <c r="J89" s="224" t="s">
        <v>178</v>
      </c>
    </row>
    <row r="90" spans="1:12">
      <c r="A90" s="69"/>
      <c r="B90" s="69"/>
      <c r="C90" s="69"/>
      <c r="D90" s="69"/>
      <c r="E90" s="69"/>
      <c r="F90" s="153" t="s">
        <v>46</v>
      </c>
      <c r="G90" s="17" t="s">
        <v>506</v>
      </c>
      <c r="H90" s="153" t="s">
        <v>96</v>
      </c>
      <c r="I90" s="17" t="s">
        <v>507</v>
      </c>
      <c r="J90" s="17" t="s">
        <v>507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7.4190386505983943</v>
      </c>
      <c r="G91" s="16">
        <f>I91/F91</f>
        <v>2.5559498489728547</v>
      </c>
      <c r="H91" s="158">
        <v>10</v>
      </c>
      <c r="I91" s="16">
        <f>J91</f>
        <v>18.962690718520737</v>
      </c>
      <c r="J91" s="159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2.8762620689614544</v>
      </c>
      <c r="G92" s="16">
        <f>I92/F92</f>
        <v>34.277328015954872</v>
      </c>
      <c r="H92" s="158">
        <v>10</v>
      </c>
      <c r="I92" s="16">
        <f t="shared" ref="I92:I95" si="33">J92</f>
        <v>98.590578397640783</v>
      </c>
      <c r="J92" s="159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4">
        <f>EB_SRV!G55</f>
        <v>9.8696577894717272</v>
      </c>
      <c r="G93" s="18">
        <f t="shared" ref="G93:G96" si="34">I93/F93</f>
        <v>1</v>
      </c>
      <c r="H93" s="165">
        <v>10</v>
      </c>
      <c r="I93" s="18">
        <f>F93</f>
        <v>9.8696577894717272</v>
      </c>
      <c r="J93" s="18">
        <f>I93/31.536</f>
        <v>0.31296479545509026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2.2998243862869807</v>
      </c>
      <c r="G94" s="16">
        <f t="shared" si="34"/>
        <v>4.0979523881676903</v>
      </c>
      <c r="H94" s="158">
        <f>H91</f>
        <v>10</v>
      </c>
      <c r="I94" s="16">
        <f t="shared" si="33"/>
        <v>9.424570836151025</v>
      </c>
      <c r="J94" s="159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0.89161115867973861</v>
      </c>
      <c r="G95" s="16">
        <f t="shared" si="34"/>
        <v>54.956813123480558</v>
      </c>
      <c r="H95" s="158">
        <f>H92</f>
        <v>10</v>
      </c>
      <c r="I95" s="16">
        <f t="shared" si="33"/>
        <v>49.000107826372364</v>
      </c>
      <c r="J95" s="159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4">
        <f>EB_SRV!G94</f>
        <v>3.059490688420063</v>
      </c>
      <c r="G96" s="18">
        <f t="shared" si="34"/>
        <v>1</v>
      </c>
      <c r="H96" s="165">
        <f>H93</f>
        <v>10</v>
      </c>
      <c r="I96" s="18">
        <f>F96</f>
        <v>3.059490688420063</v>
      </c>
      <c r="J96" s="18">
        <f>I96/31.536</f>
        <v>9.7015813306064902E-2</v>
      </c>
    </row>
    <row r="97" spans="1:14">
      <c r="A97" s="15"/>
      <c r="E97" s="164" t="s">
        <v>145</v>
      </c>
      <c r="F97" s="76">
        <f>SUM(F91:F96)</f>
        <v>26.41588474241836</v>
      </c>
      <c r="I97" s="76">
        <f>SUM(I91:I96)</f>
        <v>188.90709625657669</v>
      </c>
      <c r="J97" s="76">
        <f>SUM(J91:J96)</f>
        <v>176.38792838744604</v>
      </c>
    </row>
    <row r="98" spans="1:14">
      <c r="A98" s="15"/>
      <c r="F98" s="72"/>
      <c r="G98" s="16"/>
      <c r="H98" s="16"/>
      <c r="I98" s="16"/>
    </row>
    <row r="99" spans="1:14">
      <c r="A99" s="68" t="s">
        <v>503</v>
      </c>
      <c r="F99" s="72"/>
      <c r="K99" s="16"/>
    </row>
    <row r="100" spans="1:14" ht="45.75" thickBot="1">
      <c r="A100" s="12" t="s">
        <v>376</v>
      </c>
      <c r="B100" s="12" t="s">
        <v>158</v>
      </c>
      <c r="C100" s="12" t="s">
        <v>160</v>
      </c>
      <c r="D100" s="12" t="s">
        <v>170</v>
      </c>
      <c r="E100" s="12" t="s">
        <v>171</v>
      </c>
      <c r="F100" s="13" t="s">
        <v>400</v>
      </c>
      <c r="G100" s="12" t="s">
        <v>111</v>
      </c>
      <c r="H100" s="13" t="s">
        <v>167</v>
      </c>
      <c r="I100" s="13" t="s">
        <v>175</v>
      </c>
      <c r="J100" s="13" t="s">
        <v>144</v>
      </c>
      <c r="K100" s="157" t="s">
        <v>401</v>
      </c>
      <c r="L100" s="13" t="s">
        <v>176</v>
      </c>
      <c r="M100" s="13" t="s">
        <v>477</v>
      </c>
      <c r="N100" s="13" t="s">
        <v>478</v>
      </c>
    </row>
    <row r="101" spans="1:14" ht="30.75" thickBot="1">
      <c r="A101" s="224" t="s">
        <v>475</v>
      </c>
      <c r="B101" s="225"/>
      <c r="C101" s="225"/>
      <c r="D101" s="225"/>
      <c r="E101" s="225"/>
      <c r="F101" s="226" t="s">
        <v>473</v>
      </c>
      <c r="G101" s="226" t="s">
        <v>579</v>
      </c>
      <c r="H101" s="226" t="s">
        <v>402</v>
      </c>
      <c r="I101" s="226" t="s">
        <v>402</v>
      </c>
      <c r="J101" s="226" t="s">
        <v>402</v>
      </c>
      <c r="K101" s="226" t="s">
        <v>402</v>
      </c>
      <c r="L101" s="170"/>
      <c r="N101" s="27"/>
    </row>
    <row r="102" spans="1:14">
      <c r="A102" s="69"/>
      <c r="B102" s="69"/>
      <c r="C102" s="69"/>
      <c r="D102" s="69"/>
      <c r="E102" s="69"/>
      <c r="F102" s="153" t="s">
        <v>46</v>
      </c>
      <c r="G102" s="17" t="s">
        <v>177</v>
      </c>
      <c r="H102" s="17" t="s">
        <v>132</v>
      </c>
      <c r="I102" s="17" t="s">
        <v>73</v>
      </c>
      <c r="J102" s="17" t="s">
        <v>70</v>
      </c>
      <c r="K102" s="153" t="s">
        <v>96</v>
      </c>
      <c r="L102" s="17" t="s">
        <v>149</v>
      </c>
      <c r="M102" s="17" t="s">
        <v>177</v>
      </c>
      <c r="N102" s="153" t="s">
        <v>46</v>
      </c>
    </row>
    <row r="103" spans="1:14">
      <c r="A103" s="220" t="s">
        <v>379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3">
        <f>'Public SEAI'!C29*Legend!$B$66</f>
        <v>1.4472</v>
      </c>
      <c r="G103" s="604">
        <f>480000/10^6</f>
        <v>0.48</v>
      </c>
      <c r="H103" s="168">
        <v>0.04</v>
      </c>
      <c r="I103" s="158">
        <v>130</v>
      </c>
      <c r="J103" s="158">
        <f>12*365</f>
        <v>4380</v>
      </c>
      <c r="K103" s="167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379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3"/>
      <c r="G104" s="604"/>
      <c r="H104" s="168">
        <v>0.15</v>
      </c>
      <c r="I104" s="158">
        <v>170</v>
      </c>
      <c r="J104" s="158">
        <f t="shared" ref="J104:J106" si="35">12*365</f>
        <v>4380</v>
      </c>
      <c r="K104" s="158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379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3"/>
      <c r="G105" s="604"/>
      <c r="H105" s="168">
        <v>0.8</v>
      </c>
      <c r="I105" s="158">
        <v>200</v>
      </c>
      <c r="J105" s="158">
        <f t="shared" si="35"/>
        <v>4380</v>
      </c>
      <c r="K105" s="158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379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3"/>
      <c r="G106" s="604"/>
      <c r="H106" s="169">
        <v>0.01</v>
      </c>
      <c r="I106" s="165">
        <v>50</v>
      </c>
      <c r="J106" s="165">
        <f t="shared" si="35"/>
        <v>4380</v>
      </c>
      <c r="K106" s="165">
        <v>20</v>
      </c>
      <c r="L106" s="18">
        <f>J106*I106*(3.6*10^-6)</f>
        <v>0.78839999999999999</v>
      </c>
      <c r="M106" s="154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379</v>
      </c>
      <c r="B107" s="14" t="str">
        <f>Legend!$A$33</f>
        <v>Public lighting</v>
      </c>
      <c r="C107" s="222" t="s">
        <v>476</v>
      </c>
      <c r="D107" s="14"/>
      <c r="E107" s="14"/>
      <c r="F107" s="14"/>
      <c r="G107" s="14"/>
      <c r="H107" s="223">
        <f>SUM(H103:H106)</f>
        <v>1</v>
      </c>
      <c r="I107" s="14"/>
      <c r="J107" s="14"/>
      <c r="K107" s="14"/>
      <c r="L107" s="14"/>
      <c r="M107" s="137">
        <f>SUM(M103:M106)</f>
        <v>0.48000000000000004</v>
      </c>
      <c r="N107" s="137">
        <f>SUM(N103:N106)</f>
        <v>1.4471239680000001</v>
      </c>
    </row>
    <row r="108" spans="1:14">
      <c r="A108"/>
      <c r="B108"/>
      <c r="D108"/>
      <c r="E108"/>
      <c r="G108"/>
      <c r="L108" s="62" t="s">
        <v>479</v>
      </c>
      <c r="M108" s="221">
        <f>M107-G103</f>
        <v>0</v>
      </c>
      <c r="N108" s="221">
        <f>N107-F103</f>
        <v>-7.6031999999948141E-5</v>
      </c>
    </row>
    <row r="109" spans="1:14">
      <c r="A109"/>
      <c r="B109"/>
      <c r="C109" s="62"/>
      <c r="D109"/>
      <c r="E109"/>
      <c r="F109" s="51"/>
      <c r="G109"/>
      <c r="K109" s="211"/>
      <c r="L109" s="43"/>
      <c r="M109" s="43"/>
      <c r="N109"/>
    </row>
    <row r="110" spans="1:14">
      <c r="A110" s="68" t="s">
        <v>504</v>
      </c>
      <c r="B110"/>
      <c r="C110" s="62"/>
      <c r="D110"/>
      <c r="E110"/>
      <c r="F110" s="51"/>
      <c r="G110"/>
      <c r="K110" s="211"/>
      <c r="L110" s="43"/>
      <c r="M110" s="43"/>
      <c r="N110"/>
    </row>
    <row r="111" spans="1:14" ht="45.75" thickBot="1">
      <c r="A111" s="12" t="s">
        <v>376</v>
      </c>
      <c r="B111" s="12" t="s">
        <v>158</v>
      </c>
      <c r="C111" s="12" t="s">
        <v>81</v>
      </c>
      <c r="D111" s="12" t="s">
        <v>170</v>
      </c>
      <c r="E111" s="12" t="s">
        <v>171</v>
      </c>
      <c r="F111" s="12" t="s">
        <v>111</v>
      </c>
      <c r="G111" s="13" t="s">
        <v>472</v>
      </c>
      <c r="H111" s="157" t="s">
        <v>401</v>
      </c>
      <c r="I111" s="13" t="s">
        <v>400</v>
      </c>
      <c r="J111"/>
      <c r="K111"/>
      <c r="L111"/>
      <c r="M111" s="43"/>
      <c r="N111"/>
    </row>
    <row r="112" spans="1:14" ht="30.75" thickBot="1">
      <c r="A112" s="224" t="s">
        <v>475</v>
      </c>
      <c r="B112" s="225"/>
      <c r="C112" s="230"/>
      <c r="D112" s="230"/>
      <c r="E112" s="230"/>
      <c r="F112" s="231" t="s">
        <v>473</v>
      </c>
      <c r="G112" s="232" t="s">
        <v>474</v>
      </c>
      <c r="H112" s="226" t="s">
        <v>402</v>
      </c>
      <c r="I112" s="233"/>
      <c r="J112"/>
      <c r="K112"/>
      <c r="L112"/>
      <c r="M112" s="43"/>
      <c r="N112"/>
    </row>
    <row r="113" spans="1:14">
      <c r="A113" s="213"/>
      <c r="B113" s="213"/>
      <c r="F113" s="9" t="s">
        <v>67</v>
      </c>
      <c r="G113" s="9" t="s">
        <v>132</v>
      </c>
      <c r="H113" s="153" t="s">
        <v>96</v>
      </c>
      <c r="I113" s="9" t="s">
        <v>46</v>
      </c>
      <c r="J113"/>
      <c r="K113" s="210"/>
      <c r="L113"/>
      <c r="M113" s="43"/>
      <c r="N113"/>
    </row>
    <row r="114" spans="1:14">
      <c r="A114" s="214" t="str">
        <f>Legend!$A$21</f>
        <v>Commercial Services</v>
      </c>
      <c r="B114" s="214" t="str">
        <f>Legend!$A$32</f>
        <v>Data centers</v>
      </c>
      <c r="C114" s="214" t="str">
        <f>Legend!$A$43</f>
        <v>Electricity</v>
      </c>
      <c r="D114" s="214" t="str">
        <f>Legend!$B$43</f>
        <v>ELC</v>
      </c>
      <c r="E114" s="214" t="str">
        <f>Legend!$C$43</f>
        <v>SRVELC</v>
      </c>
      <c r="F114" s="215">
        <f>510/1000</f>
        <v>0.51</v>
      </c>
      <c r="G114" s="216">
        <v>0.35</v>
      </c>
      <c r="H114" s="276">
        <v>20</v>
      </c>
      <c r="I114" s="217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2"/>
      <c r="D115"/>
      <c r="E115"/>
      <c r="F115" s="51"/>
      <c r="G115"/>
      <c r="K115" s="211"/>
      <c r="L115" s="43"/>
      <c r="M115" s="43"/>
      <c r="N115"/>
    </row>
    <row r="116" spans="1:14">
      <c r="A116" s="68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zoomScale="80" zoomScaleNormal="80" workbookViewId="0">
      <selection activeCell="C29" sqref="C29"/>
    </sheetView>
  </sheetViews>
  <sheetFormatPr defaultRowHeight="15"/>
  <cols>
    <col min="1" max="1" width="2" bestFit="1" customWidth="1"/>
    <col min="2" max="2" width="10.28515625" style="9" bestFit="1" customWidth="1"/>
    <col min="3" max="3" width="25.85546875" style="9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518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532</v>
      </c>
      <c r="D4" s="38" t="s">
        <v>515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581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405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581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405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4" t="s">
        <v>27</v>
      </c>
      <c r="C21" s="274" t="str">
        <f>_xlfn.TEXTJOIN(",",TRUE,IF(LEFT(Regions!$C$3,1)&lt;&gt;"*",Regions!$C$3,""),IF(LEFT(Regions!$D$3,1)&lt;&gt;"*",Regions!$D$3,""))</f>
        <v>IE,National</v>
      </c>
      <c r="D21" s="274" t="str">
        <f>CONCATENATE(Legend!$C$4,Legend!$C32,"-",Legend!$C$21)</f>
        <v>SRVDCE-CS</v>
      </c>
      <c r="E21" s="274" t="str">
        <f>CONCATENATE(Legend!$C$4,"-",Legend!$A$21,": ",Legend!A32)</f>
        <v>SRV-Commercial Services: Data centers</v>
      </c>
      <c r="F21" s="274" t="s">
        <v>46</v>
      </c>
      <c r="G21" s="274"/>
      <c r="H21" s="274" t="s">
        <v>30</v>
      </c>
      <c r="I21" s="274"/>
      <c r="J21" s="274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325" t="s">
        <v>21</v>
      </c>
      <c r="C33" s="9" t="str">
        <f>_xlfn.TEXTJOIN(",",TRUE,IF(LEFT(Regions!$C$3,1)&lt;&gt;"*",Regions!$C$3,""),IF(LEFT(Regions!$D$3,1)&lt;&gt;"*",Regions!$D$3,""))</f>
        <v>IE,National</v>
      </c>
      <c r="D33" s="325" t="str">
        <f>Legend!C46</f>
        <v>SRVHET</v>
      </c>
      <c r="E33" s="325" t="str">
        <f>Legend!A46&amp;" (SRV)"</f>
        <v>District heating (SRV)</v>
      </c>
      <c r="F33" s="325" t="s">
        <v>46</v>
      </c>
      <c r="G33" s="326"/>
      <c r="H33" s="325" t="s">
        <v>88</v>
      </c>
      <c r="I33" s="325"/>
      <c r="J33" s="325"/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4"/>
      <c r="H37" s="74"/>
      <c r="I37" s="74"/>
      <c r="J37" s="74"/>
    </row>
    <row r="38" spans="2:15">
      <c r="B38" s="274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519</v>
      </c>
      <c r="E38" t="s">
        <v>530</v>
      </c>
      <c r="F38" s="274" t="s">
        <v>531</v>
      </c>
      <c r="G38" s="274"/>
      <c r="H38" s="274"/>
      <c r="I38" s="274"/>
      <c r="J38" s="274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520</v>
      </c>
      <c r="E39" t="s">
        <v>525</v>
      </c>
      <c r="F39" t="s">
        <v>531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521</v>
      </c>
      <c r="E40" t="s">
        <v>526</v>
      </c>
      <c r="F40" t="s">
        <v>531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522</v>
      </c>
      <c r="E41" t="s">
        <v>527</v>
      </c>
      <c r="F41" t="s">
        <v>531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523</v>
      </c>
      <c r="E42" t="s">
        <v>528</v>
      </c>
      <c r="F42" t="s">
        <v>531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524</v>
      </c>
      <c r="E43" s="74" t="s">
        <v>529</v>
      </c>
      <c r="F43" s="74" t="s">
        <v>531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S22"/>
  <sheetViews>
    <sheetView tabSelected="1" zoomScaleNormal="100" workbookViewId="0">
      <selection activeCell="J24" sqref="J24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6" width="9.140625" style="9"/>
    <col min="7" max="7" width="12" style="9" customWidth="1"/>
    <col min="8" max="8" width="10.42578125" style="9" bestFit="1" customWidth="1"/>
    <col min="9" max="11" width="9.140625" style="9"/>
    <col min="12" max="12" width="14.5703125" style="9" customWidth="1"/>
    <col min="13" max="13" width="15.140625" style="9" customWidth="1"/>
    <col min="14" max="14" width="45.7109375" style="9" bestFit="1" customWidth="1"/>
    <col min="15" max="19" width="9.140625" style="9"/>
    <col min="20" max="16384" width="9.140625" style="5"/>
  </cols>
  <sheetData>
    <row r="1" spans="2:19" ht="23.25">
      <c r="B1" s="20" t="s">
        <v>85</v>
      </c>
    </row>
    <row r="2" spans="2:19">
      <c r="B2" s="40" t="s">
        <v>86</v>
      </c>
      <c r="K2" s="35" t="s">
        <v>13</v>
      </c>
      <c r="L2" s="35"/>
      <c r="M2" s="40"/>
      <c r="N2" s="36"/>
      <c r="O2" s="36"/>
      <c r="P2" s="36"/>
      <c r="Q2" s="36"/>
      <c r="R2" s="36"/>
    </row>
    <row r="3" spans="2:19" ht="15.75" thickBot="1">
      <c r="B3" s="21" t="str">
        <f t="shared" ref="B3:B7" si="0">M3</f>
        <v>TechName</v>
      </c>
      <c r="C3" s="21" t="s">
        <v>22</v>
      </c>
      <c r="D3" s="21" t="s">
        <v>23</v>
      </c>
      <c r="E3" s="21" t="s">
        <v>87</v>
      </c>
      <c r="F3" s="21" t="s">
        <v>606</v>
      </c>
      <c r="G3" s="21" t="s">
        <v>608</v>
      </c>
      <c r="H3" s="21" t="s">
        <v>573</v>
      </c>
      <c r="I3" s="21" t="s">
        <v>574</v>
      </c>
      <c r="K3" s="21" t="s">
        <v>14</v>
      </c>
      <c r="L3" s="21" t="s">
        <v>518</v>
      </c>
      <c r="M3" s="21" t="s">
        <v>4</v>
      </c>
      <c r="N3" s="21" t="s">
        <v>15</v>
      </c>
      <c r="O3" s="21" t="s">
        <v>16</v>
      </c>
      <c r="P3" s="21" t="s">
        <v>17</v>
      </c>
      <c r="Q3" s="21" t="s">
        <v>18</v>
      </c>
      <c r="R3" s="21" t="s">
        <v>19</v>
      </c>
      <c r="S3" s="41" t="s">
        <v>20</v>
      </c>
    </row>
    <row r="4" spans="2:19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607</v>
      </c>
      <c r="G4" s="37"/>
      <c r="H4" s="37" t="s">
        <v>576</v>
      </c>
      <c r="I4" s="37" t="s">
        <v>575</v>
      </c>
      <c r="K4" s="37" t="s">
        <v>115</v>
      </c>
      <c r="L4" s="37" t="s">
        <v>532</v>
      </c>
      <c r="M4" s="37" t="s">
        <v>116</v>
      </c>
      <c r="N4" s="37" t="s">
        <v>89</v>
      </c>
      <c r="O4" s="37" t="s">
        <v>117</v>
      </c>
      <c r="P4" s="37" t="s">
        <v>118</v>
      </c>
      <c r="Q4" s="37" t="s">
        <v>119</v>
      </c>
      <c r="R4" s="39" t="s">
        <v>120</v>
      </c>
      <c r="S4" s="39" t="s">
        <v>121</v>
      </c>
    </row>
    <row r="5" spans="2:19">
      <c r="B5" s="9" t="str">
        <f t="shared" si="0"/>
        <v>FT-SRVCOA</v>
      </c>
      <c r="C5" s="9" t="s">
        <v>545</v>
      </c>
      <c r="D5" s="9" t="str">
        <f>Legend!C36</f>
        <v>SRVCOA</v>
      </c>
      <c r="E5" s="9">
        <v>1</v>
      </c>
      <c r="K5" s="36" t="s">
        <v>24</v>
      </c>
      <c r="L5" s="36" t="str">
        <f>_xlfn.TEXTJOIN(",",TRUE,IF(LEFT(Regions!$C$3,1)&lt;&gt;"*",Regions!$C$3,""),IF(LEFT(Regions!$D$3,1)&lt;&gt;"*",Regions!$D$3,""))</f>
        <v>IE,National</v>
      </c>
      <c r="M5" s="36" t="str">
        <f>"FT-"&amp;D5</f>
        <v>FT-SRVCOA</v>
      </c>
      <c r="N5" s="36" t="str">
        <f>"Fuel Tech - "&amp;Legend!A36</f>
        <v>Fuel Tech - Solids</v>
      </c>
      <c r="O5" s="36" t="s">
        <v>46</v>
      </c>
      <c r="P5" s="36" t="s">
        <v>580</v>
      </c>
      <c r="Q5" s="36"/>
      <c r="R5" s="36"/>
    </row>
    <row r="6" spans="2:19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K6" s="36" t="s">
        <v>24</v>
      </c>
      <c r="L6" s="36" t="str">
        <f>_xlfn.TEXTJOIN(",",TRUE,IF(LEFT(Regions!$C$3,1)&lt;&gt;"*",Regions!$C$3,""),IF(LEFT(Regions!$D$3,1)&lt;&gt;"*",Regions!$D$3,""))</f>
        <v>IE,National</v>
      </c>
      <c r="M6" s="36" t="str">
        <f t="shared" ref="M6:M7" si="1">"FT-"&amp;D6</f>
        <v>FT-SRVLPG</v>
      </c>
      <c r="N6" s="36" t="str">
        <f>"Fuel Tech - "&amp;Legend!A37</f>
        <v>Fuel Tech - LPG</v>
      </c>
      <c r="O6" s="36" t="s">
        <v>46</v>
      </c>
      <c r="P6" s="36" t="s">
        <v>580</v>
      </c>
      <c r="Q6" s="36"/>
      <c r="R6" s="36"/>
    </row>
    <row r="7" spans="2:19">
      <c r="B7" s="9" t="str">
        <f t="shared" si="0"/>
        <v>FT-SRVOIL</v>
      </c>
      <c r="C7" s="9" t="s">
        <v>546</v>
      </c>
      <c r="D7" s="9" t="str">
        <f>Legend!C38</f>
        <v>SRVOIL</v>
      </c>
      <c r="E7" s="9">
        <v>1</v>
      </c>
      <c r="H7" s="61">
        <f>EB_SRV!R5*Legend!$B$65/EB_SRV!$F$12</f>
        <v>0.36882675694132322</v>
      </c>
      <c r="I7" s="9">
        <v>5</v>
      </c>
      <c r="K7" s="36" t="s">
        <v>24</v>
      </c>
      <c r="L7" s="36" t="str">
        <f>_xlfn.TEXTJOIN(",",TRUE,IF(LEFT(Regions!$C$3,1)&lt;&gt;"*",Regions!$C$3,""),IF(LEFT(Regions!$D$3,1)&lt;&gt;"*",Regions!$D$3,""))</f>
        <v>IE,National</v>
      </c>
      <c r="M7" s="36" t="str">
        <f t="shared" si="1"/>
        <v>FT-SRVOIL</v>
      </c>
      <c r="N7" s="36" t="str">
        <f>"Fuel Tech - "&amp;Legend!A38</f>
        <v>Fuel Tech - Oil</v>
      </c>
      <c r="O7" s="36" t="s">
        <v>46</v>
      </c>
      <c r="P7" s="36" t="s">
        <v>580</v>
      </c>
      <c r="Q7" s="36"/>
      <c r="R7" s="36"/>
    </row>
    <row r="8" spans="2:19">
      <c r="C8" s="9" t="s">
        <v>577</v>
      </c>
      <c r="H8" s="61">
        <f>EB_SRV!V5*Legend!$B$65/EB_SRV!$F$12</f>
        <v>0.6273993982617353</v>
      </c>
      <c r="I8" s="9">
        <v>5</v>
      </c>
      <c r="K8" s="36" t="s">
        <v>24</v>
      </c>
      <c r="L8" s="36" t="str">
        <f>_xlfn.TEXTJOIN(",",TRUE,IF(LEFT(Regions!$C$3,1)&lt;&gt;"*",Regions!$C$3,""),IF(LEFT(Regions!$D$3,1)&lt;&gt;"*",Regions!$D$3,""))</f>
        <v>IE,National</v>
      </c>
      <c r="M8" s="36" t="str">
        <f t="shared" ref="M8:M13" si="2">"FT-"&amp;D10</f>
        <v>FT-SRVGAS</v>
      </c>
      <c r="N8" s="36" t="str">
        <f>"Fuel Tech - "&amp;Legend!A39</f>
        <v>Fuel Tech - Natural Gas</v>
      </c>
      <c r="O8" s="36" t="s">
        <v>46</v>
      </c>
      <c r="P8" s="36" t="s">
        <v>580</v>
      </c>
      <c r="Q8" s="36"/>
      <c r="R8" s="36"/>
    </row>
    <row r="9" spans="2:19">
      <c r="C9" s="9" t="s">
        <v>578</v>
      </c>
      <c r="H9" s="61">
        <f>EB_SRV!T5*Legend!$B$65/EB_SRV!$F$12</f>
        <v>3.7738447969415841E-3</v>
      </c>
      <c r="I9" s="9">
        <v>5</v>
      </c>
      <c r="K9" s="36" t="s">
        <v>24</v>
      </c>
      <c r="L9" s="36" t="str">
        <f>_xlfn.TEXTJOIN(",",TRUE,IF(LEFT(Regions!$C$3,1)&lt;&gt;"*",Regions!$C$3,""),IF(LEFT(Regions!$D$3,1)&lt;&gt;"*",Regions!$D$3,""))</f>
        <v>IE,National</v>
      </c>
      <c r="M9" s="36" t="str">
        <f t="shared" si="2"/>
        <v>FT-SRVBIO</v>
      </c>
      <c r="N9" s="36" t="str">
        <f>"Fuel Tech - "&amp;Legend!A40</f>
        <v>Fuel Tech - Biomass</v>
      </c>
      <c r="O9" s="36" t="s">
        <v>46</v>
      </c>
      <c r="P9" s="36" t="s">
        <v>580</v>
      </c>
      <c r="Q9" s="36"/>
      <c r="R9" s="36"/>
    </row>
    <row r="10" spans="2:19">
      <c r="B10" s="9" t="str">
        <f t="shared" ref="B10:B15" si="3">M8</f>
        <v>FT-SRVGAS</v>
      </c>
      <c r="C10" s="9" t="s">
        <v>93</v>
      </c>
      <c r="D10" s="9" t="str">
        <f>Legend!C39</f>
        <v>SRVGAS</v>
      </c>
      <c r="E10" s="9">
        <v>1</v>
      </c>
      <c r="K10" s="36" t="s">
        <v>24</v>
      </c>
      <c r="L10" s="36" t="str">
        <f>_xlfn.TEXTJOIN(",",TRUE,IF(LEFT(Regions!$C$3,1)&lt;&gt;"*",Regions!$C$3,""),IF(LEFT(Regions!$D$3,1)&lt;&gt;"*",Regions!$D$3,""))</f>
        <v>IE,National</v>
      </c>
      <c r="M10" s="36" t="str">
        <f t="shared" si="2"/>
        <v>FT-SRVBGS</v>
      </c>
      <c r="N10" s="36" t="str">
        <f>"Fuel Tech - "&amp;Legend!A41</f>
        <v>Fuel Tech - Biogas</v>
      </c>
      <c r="O10" s="36" t="s">
        <v>46</v>
      </c>
      <c r="P10" s="36" t="s">
        <v>580</v>
      </c>
      <c r="Q10" s="36"/>
      <c r="R10" s="36"/>
    </row>
    <row r="11" spans="2:19">
      <c r="B11" s="9" t="str">
        <f t="shared" si="3"/>
        <v>FT-SRVBIO</v>
      </c>
      <c r="C11" s="9" t="s">
        <v>547</v>
      </c>
      <c r="D11" s="9" t="str">
        <f>Legend!C40</f>
        <v>SRVBIO</v>
      </c>
      <c r="E11" s="9">
        <v>1</v>
      </c>
      <c r="K11" s="36" t="s">
        <v>24</v>
      </c>
      <c r="L11" s="36" t="str">
        <f>_xlfn.TEXTJOIN(",",TRUE,IF(LEFT(Regions!$C$3,1)&lt;&gt;"*",Regions!$C$3,""),IF(LEFT(Regions!$D$3,1)&lt;&gt;"*",Regions!$D$3,""))</f>
        <v>IE,National</v>
      </c>
      <c r="M11" s="36" t="str">
        <f t="shared" si="2"/>
        <v>FT-SRVSOL</v>
      </c>
      <c r="N11" s="36" t="str">
        <f>"Fuel Tech - "&amp;Legend!A42</f>
        <v>Fuel Tech - Solar</v>
      </c>
      <c r="O11" s="36" t="s">
        <v>46</v>
      </c>
      <c r="P11" s="36" t="s">
        <v>580</v>
      </c>
      <c r="Q11" s="36"/>
      <c r="R11" s="36"/>
    </row>
    <row r="12" spans="2:19">
      <c r="B12" s="9" t="str">
        <f t="shared" si="3"/>
        <v>FT-SRVBGS</v>
      </c>
      <c r="C12" s="9" t="s">
        <v>551</v>
      </c>
      <c r="D12" s="9" t="str">
        <f>Legend!C41</f>
        <v>SRVBGS</v>
      </c>
      <c r="E12" s="9">
        <v>1</v>
      </c>
      <c r="K12" s="36" t="s">
        <v>24</v>
      </c>
      <c r="L12" s="36" t="str">
        <f>_xlfn.TEXTJOIN(",",TRUE,IF(LEFT(Regions!$C$3,1)&lt;&gt;"*",Regions!$C$3,""),IF(LEFT(Regions!$D$3,1)&lt;&gt;"*",Regions!$D$3,""))</f>
        <v>IE,National</v>
      </c>
      <c r="M12" s="36" t="str">
        <f t="shared" si="2"/>
        <v>FT-SRVELC</v>
      </c>
      <c r="N12" s="36" t="str">
        <f>"Fuel Tech - "&amp;Legend!A43</f>
        <v>Fuel Tech - Electricity</v>
      </c>
      <c r="O12" s="36" t="s">
        <v>46</v>
      </c>
      <c r="P12" s="36" t="s">
        <v>580</v>
      </c>
      <c r="Q12" s="36" t="s">
        <v>88</v>
      </c>
      <c r="R12" s="36"/>
    </row>
    <row r="13" spans="2:19">
      <c r="B13" s="9" t="str">
        <f t="shared" si="3"/>
        <v>FT-SRVSOL</v>
      </c>
      <c r="C13" s="9" t="s">
        <v>542</v>
      </c>
      <c r="D13" s="9" t="str">
        <f>Legend!C42</f>
        <v>SRVSOL</v>
      </c>
      <c r="E13" s="9">
        <v>1</v>
      </c>
      <c r="K13" s="46" t="s">
        <v>24</v>
      </c>
      <c r="L13" s="46" t="str">
        <f>_xlfn.TEXTJOIN(",",TRUE,IF(LEFT(Regions!$C$3,1)&lt;&gt;"*",Regions!$C$3,""),IF(LEFT(Regions!$D$3,1)&lt;&gt;"*",Regions!$D$3,""))</f>
        <v>IE,National</v>
      </c>
      <c r="M13" s="46" t="str">
        <f t="shared" si="2"/>
        <v>FT-SRVAHT</v>
      </c>
      <c r="N13" s="46" t="str">
        <f>"Fuel Tech - "&amp;Legend!A44</f>
        <v>Fuel Tech - Ambient Heat</v>
      </c>
      <c r="O13" s="46" t="s">
        <v>46</v>
      </c>
      <c r="P13" s="46" t="s">
        <v>580</v>
      </c>
      <c r="Q13" s="46"/>
      <c r="R13" s="46"/>
      <c r="S13" s="14"/>
    </row>
    <row r="14" spans="2:19">
      <c r="B14" s="9" t="str">
        <f t="shared" si="3"/>
        <v>FT-SRVELC</v>
      </c>
      <c r="C14" s="9" t="s">
        <v>550</v>
      </c>
      <c r="D14" s="9" t="str">
        <f>Legend!C43</f>
        <v>SRVELC</v>
      </c>
      <c r="E14" s="9">
        <v>1</v>
      </c>
      <c r="K14" s="36" t="s">
        <v>24</v>
      </c>
      <c r="L14" s="36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M14" s="36" t="str">
        <f>"FT-"&amp;Commodities!D33</f>
        <v>FT-SRVHET</v>
      </c>
      <c r="N14" s="36" t="str">
        <f>Commodities!E33&amp;" Existing"</f>
        <v>District heating (SRV) Existing</v>
      </c>
      <c r="O14" s="36" t="s">
        <v>46</v>
      </c>
      <c r="P14" s="36" t="s">
        <v>580</v>
      </c>
      <c r="Q14" s="36" t="s">
        <v>88</v>
      </c>
      <c r="R14" s="36"/>
    </row>
    <row r="15" spans="2:19">
      <c r="B15" s="9" t="str">
        <f t="shared" si="3"/>
        <v>FT-SRVAHT</v>
      </c>
      <c r="C15" s="9" t="s">
        <v>543</v>
      </c>
      <c r="D15" s="9" t="str">
        <f>Legend!C44</f>
        <v>SRVAHT</v>
      </c>
      <c r="E15" s="9">
        <v>1</v>
      </c>
      <c r="K15" s="36" t="s">
        <v>24</v>
      </c>
      <c r="L15" s="36" t="str">
        <f>_xlfn.TEXTJOIN(",",TRUE,IF(LEFT(Regions!$C$3,1)&lt;&gt;"*",Regions!$C$3,""),IF(LEFT(Regions!$D$3,1)&lt;&gt;"*",Regions!$D$3,""))</f>
        <v>IE,National</v>
      </c>
      <c r="M15" s="36" t="str">
        <f>"FT-"&amp;D18</f>
        <v>FT-SRVWIN</v>
      </c>
      <c r="N15" s="36" t="str">
        <f>"Fuel Tech - "&amp;Legend!A47</f>
        <v>Fuel Tech - Wind</v>
      </c>
      <c r="O15" s="36" t="s">
        <v>46</v>
      </c>
      <c r="P15" s="36" t="s">
        <v>580</v>
      </c>
      <c r="Q15" s="36"/>
      <c r="R15" s="36"/>
    </row>
    <row r="16" spans="2:19">
      <c r="C16" s="14"/>
      <c r="D16" s="9" t="str">
        <f>Legend!C45</f>
        <v>SRVAHT2</v>
      </c>
      <c r="K16" s="36" t="s">
        <v>24</v>
      </c>
      <c r="L16" s="36" t="str">
        <f>_xlfn.TEXTJOIN(",",TRUE,IF(LEFT(Regions!$C$3,1)&lt;&gt;"*",Regions!$C$3,""),IF(LEFT(Regions!$D$3,1)&lt;&gt;"*",Regions!$D$3,""))</f>
        <v>IE,National</v>
      </c>
      <c r="M16" s="36" t="str">
        <f>"FT-"&amp;D19</f>
        <v>FT-SRVH2G</v>
      </c>
      <c r="N16" s="36" t="str">
        <f>"Fuel Tech - "&amp;Legend!A48</f>
        <v>Fuel Tech - Hydrogen (gaseous)</v>
      </c>
      <c r="O16" s="36" t="s">
        <v>46</v>
      </c>
      <c r="P16" s="36" t="s">
        <v>580</v>
      </c>
      <c r="Q16" s="36"/>
      <c r="R16" s="36"/>
    </row>
    <row r="17" spans="2:19">
      <c r="B17" s="324" t="str">
        <f t="shared" ref="B17" si="4">M14</f>
        <v>FT-SRVHET</v>
      </c>
      <c r="C17" s="9" t="s">
        <v>604</v>
      </c>
      <c r="D17" s="274" t="s">
        <v>605</v>
      </c>
      <c r="E17" s="274">
        <v>1</v>
      </c>
      <c r="F17" s="274">
        <v>0.3</v>
      </c>
      <c r="G17" s="274">
        <v>5</v>
      </c>
      <c r="H17" s="274"/>
      <c r="I17" s="274"/>
      <c r="K17" s="36" t="s">
        <v>24</v>
      </c>
      <c r="L17" s="36" t="str">
        <f>_xlfn.TEXTJOIN(",",TRUE,IF(LEFT(Regions!$C$3,1)&lt;&gt;"*",Regions!$C$3,""),IF(LEFT(Regions!$D$3,1)&lt;&gt;"*",Regions!$D$3,""))</f>
        <v>IE,National</v>
      </c>
      <c r="M17" s="36" t="str">
        <f>"FT-"&amp;D20</f>
        <v>FT-SRVH2L</v>
      </c>
      <c r="N17" s="36" t="str">
        <f>"Fuel Tech - "&amp;Legend!A49</f>
        <v>Fuel Tech - Hydrogen (liquid)</v>
      </c>
      <c r="O17" s="36" t="s">
        <v>46</v>
      </c>
      <c r="P17" s="36" t="s">
        <v>580</v>
      </c>
      <c r="Q17" s="36"/>
      <c r="R17" s="36"/>
    </row>
    <row r="18" spans="2:19">
      <c r="B18" s="9" t="str">
        <f>M15</f>
        <v>FT-SRVWIN</v>
      </c>
      <c r="C18" s="9" t="s">
        <v>552</v>
      </c>
      <c r="D18" s="9" t="str">
        <f>Legend!C47</f>
        <v>SRVWIN</v>
      </c>
      <c r="E18" s="9">
        <v>1</v>
      </c>
      <c r="K18" s="36" t="s">
        <v>24</v>
      </c>
      <c r="L18" s="36" t="str">
        <f>_xlfn.TEXTJOIN(",",TRUE,IF(LEFT(Regions!$C$3,1)&lt;&gt;"*",Regions!$C$3,""),IF(LEFT(Regions!$D$3,1)&lt;&gt;"*",Regions!$D$3,""))</f>
        <v>IE,National</v>
      </c>
      <c r="M18" s="36" t="str">
        <f>"FT-"&amp;D21</f>
        <v>FT-SRVBDL</v>
      </c>
      <c r="N18" s="36" t="str">
        <f>"Fuel Tech - "&amp;Legend!A50</f>
        <v>Fuel Tech - Biodiesel</v>
      </c>
      <c r="O18" s="36" t="s">
        <v>46</v>
      </c>
      <c r="P18" s="36" t="s">
        <v>580</v>
      </c>
      <c r="Q18" s="36"/>
      <c r="R18" s="36"/>
    </row>
    <row r="19" spans="2:19">
      <c r="B19" s="9" t="str">
        <f>M16</f>
        <v>FT-SRVH2G</v>
      </c>
      <c r="C19" s="9" t="s">
        <v>553</v>
      </c>
      <c r="D19" s="9" t="str">
        <f>Legend!C48</f>
        <v>SRVH2G</v>
      </c>
      <c r="E19" s="9">
        <v>1</v>
      </c>
      <c r="K19" s="46" t="s">
        <v>24</v>
      </c>
      <c r="L19" s="46" t="str">
        <f>_xlfn.TEXTJOIN(",",TRUE,IF(LEFT(Regions!$C$3,1)&lt;&gt;"*",Regions!$C$3,""),IF(LEFT(Regions!$D$3,1)&lt;&gt;"*",Regions!$D$3,""))</f>
        <v>IE,National</v>
      </c>
      <c r="M19" s="46" t="str">
        <f>"FT-"&amp;D22</f>
        <v>FT-SRVETH</v>
      </c>
      <c r="N19" s="46" t="str">
        <f>"Fuel Tech - "&amp;Legend!A51</f>
        <v>Fuel Tech - Ethanol</v>
      </c>
      <c r="O19" s="46" t="s">
        <v>46</v>
      </c>
      <c r="P19" s="46" t="s">
        <v>580</v>
      </c>
      <c r="Q19" s="46"/>
      <c r="R19" s="46"/>
      <c r="S19" s="14"/>
    </row>
    <row r="20" spans="2:19">
      <c r="B20" s="9" t="str">
        <f>M17</f>
        <v>FT-SRVH2L</v>
      </c>
      <c r="C20" s="9" t="s">
        <v>558</v>
      </c>
      <c r="D20" s="9" t="str">
        <f>Legend!C49</f>
        <v>SRVH2L</v>
      </c>
      <c r="E20" s="9">
        <v>1</v>
      </c>
    </row>
    <row r="21" spans="2:19">
      <c r="B21" s="9" t="str">
        <f>M18</f>
        <v>FT-SRVBDL</v>
      </c>
      <c r="C21" s="9" t="s">
        <v>549</v>
      </c>
      <c r="D21" s="9" t="str">
        <f>Legend!C50</f>
        <v>SRVBDL</v>
      </c>
      <c r="E21" s="9">
        <v>1</v>
      </c>
    </row>
    <row r="22" spans="2:19">
      <c r="B22" s="14" t="str">
        <f>M19</f>
        <v>FT-SRVETH</v>
      </c>
      <c r="C22" s="14" t="s">
        <v>548</v>
      </c>
      <c r="D22" s="14" t="str">
        <f>Legend!C51</f>
        <v>SRVETH</v>
      </c>
      <c r="E22" s="14">
        <v>1</v>
      </c>
      <c r="F22" s="14"/>
      <c r="G22" s="14"/>
      <c r="H22" s="14"/>
      <c r="I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G26" sqref="G26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5.7109375" style="19" bestFit="1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516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154</v>
      </c>
      <c r="G3" s="21" t="s">
        <v>141</v>
      </c>
      <c r="H3" s="21" t="s">
        <v>583</v>
      </c>
      <c r="I3" s="21" t="s">
        <v>584</v>
      </c>
      <c r="J3" s="21" t="s">
        <v>29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582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507</v>
      </c>
      <c r="H5" s="42"/>
      <c r="I5" s="42"/>
      <c r="J5" s="42" t="s">
        <v>138</v>
      </c>
      <c r="L5" s="42" t="s">
        <v>494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8">
        <f>SUM(TH_Techs!$AJ$7:$AJ$14)/'Building stock'!$F$6</f>
        <v>0.32120301059695838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8">
        <f>SUM(TH_Techs!$AJ$16:$AJ$22)/'Building stock'!$F$6</f>
        <v>8.6436286608257459E-2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8">
        <f>SUM(TH_Techs!$AJ$24:$AJ$25)/'Building stock'!$F$6</f>
        <v>0.12515865475817473</v>
      </c>
      <c r="H8" s="282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8">
        <f>SUM(CK_Techs!$AD$7:$AD$10)/'Building stock'!$F$6</f>
        <v>0.13524761311496872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7">
        <f>EAP_Techs!AD8/'Building stock'!$F$6</f>
        <v>0.34149098112577198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8">
        <f>SUM(TH_Techs!$AJ$27:$AJ$34)/'Building stock'!$F$13</f>
        <v>0.10628194533547337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288">
        <f>SUM(TH_Techs!$AJ$36:$AJ$42)/'Building stock'!$F$13</f>
        <v>2.5794975305082495E-2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8">
        <f>SUM(TH_Techs!$AJ$44:$AJ$45)/'Building stock'!$F$13</f>
        <v>1.9347548329059414E-2</v>
      </c>
      <c r="H15" s="9"/>
    </row>
    <row r="16" spans="1:20">
      <c r="A16" s="52"/>
      <c r="B16" s="287"/>
      <c r="D16" s="9" t="str">
        <f>Commodities!D17</f>
        <v>SRVCK-PU</v>
      </c>
      <c r="F16" s="9"/>
      <c r="G16" s="288">
        <f>SUM(CK_Techs!$AD$12:$AD$15)/'Building stock'!$F$13</f>
        <v>3.2190254153783036E-2</v>
      </c>
    </row>
    <row r="17" spans="1:15">
      <c r="A17" s="52"/>
      <c r="B17" s="9"/>
      <c r="D17" s="9" t="str">
        <f>Commodities!D18</f>
        <v>SRVLIG-PU</v>
      </c>
      <c r="F17" s="5"/>
      <c r="G17" s="288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8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9">
        <f>EAP_Techs!AD11/'Building stock'!$F$13</f>
        <v>5.2612374241425709E-2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517</v>
      </c>
      <c r="D23" s="1"/>
      <c r="E23" s="1"/>
      <c r="F23" s="1"/>
      <c r="G23" s="5"/>
    </row>
    <row r="24" spans="1:15">
      <c r="A24" s="52"/>
      <c r="D24" s="35" t="s">
        <v>86</v>
      </c>
      <c r="F24" s="1"/>
      <c r="G24" s="9"/>
    </row>
    <row r="25" spans="1:15" ht="15.75" thickBot="1">
      <c r="A25" s="52"/>
      <c r="B25" s="21" t="s">
        <v>518</v>
      </c>
      <c r="C25" s="21" t="s">
        <v>7</v>
      </c>
      <c r="D25" s="21" t="s">
        <v>625</v>
      </c>
      <c r="E25" s="21">
        <v>2018</v>
      </c>
      <c r="O25" s="53"/>
    </row>
    <row r="26" spans="1:15" ht="25.5">
      <c r="A26" s="52"/>
      <c r="B26" s="39" t="s">
        <v>624</v>
      </c>
      <c r="C26" s="39" t="s">
        <v>515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53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283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zoomScale="90" zoomScaleNormal="90" workbookViewId="0">
      <pane ySplit="5" topLeftCell="A6" activePane="bottomLeft" state="frozen"/>
      <selection pane="bottomLeft" activeCell="F20" sqref="F20"/>
    </sheetView>
  </sheetViews>
  <sheetFormatPr defaultColWidth="8.85546875" defaultRowHeight="15"/>
  <cols>
    <col min="1" max="1" width="2" style="9" bestFit="1" customWidth="1"/>
    <col min="2" max="2" width="14.7109375" style="9" customWidth="1"/>
    <col min="3" max="3" width="18.7109375" style="9" bestFit="1" customWidth="1"/>
    <col min="4" max="4" width="56.7109375" style="9" bestFit="1" customWidth="1"/>
    <col min="5" max="5" width="16" style="9" bestFit="1" customWidth="1"/>
    <col min="6" max="6" width="13.5703125" style="9" bestFit="1" customWidth="1"/>
    <col min="7" max="7" width="11.28515625" style="9" bestFit="1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501</v>
      </c>
      <c r="C1" s="20"/>
      <c r="D1" s="20"/>
    </row>
    <row r="2" spans="1:37">
      <c r="B2" s="40" t="s">
        <v>86</v>
      </c>
      <c r="C2" s="40"/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518</v>
      </c>
      <c r="C3" s="21" t="s">
        <v>4</v>
      </c>
      <c r="D3" s="41" t="s">
        <v>123</v>
      </c>
      <c r="E3" s="21" t="s">
        <v>22</v>
      </c>
      <c r="F3" s="21" t="s">
        <v>538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"Input~"&amp;Legend!$C$44</f>
        <v>Input~SRVAHT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518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605" t="s">
        <v>376</v>
      </c>
      <c r="AC3" s="605" t="s">
        <v>158</v>
      </c>
      <c r="AD3" s="605" t="s">
        <v>81</v>
      </c>
      <c r="AE3" s="605" t="s">
        <v>496</v>
      </c>
      <c r="AF3" s="605" t="s">
        <v>497</v>
      </c>
      <c r="AG3" s="605" t="s">
        <v>498</v>
      </c>
      <c r="AH3" s="605" t="s">
        <v>499</v>
      </c>
      <c r="AI3" s="54" t="s">
        <v>77</v>
      </c>
      <c r="AJ3" s="55"/>
    </row>
    <row r="4" spans="1:37" ht="60.75" thickBot="1">
      <c r="B4" s="39" t="s">
        <v>626</v>
      </c>
      <c r="C4" s="39" t="s">
        <v>116</v>
      </c>
      <c r="D4" s="39" t="s">
        <v>89</v>
      </c>
      <c r="E4" s="39" t="s">
        <v>126</v>
      </c>
      <c r="F4" s="39" t="s">
        <v>539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182</v>
      </c>
      <c r="O4" s="39" t="s">
        <v>184</v>
      </c>
      <c r="P4" s="39" t="s">
        <v>183</v>
      </c>
      <c r="R4" s="37" t="s">
        <v>115</v>
      </c>
      <c r="S4" s="37" t="s">
        <v>532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606"/>
      <c r="AC4" s="606"/>
      <c r="AD4" s="606"/>
      <c r="AE4" s="606"/>
      <c r="AF4" s="606"/>
      <c r="AG4" s="606"/>
      <c r="AH4" s="606"/>
      <c r="AI4" s="13" t="s">
        <v>146</v>
      </c>
      <c r="AJ4" s="56" t="s">
        <v>500</v>
      </c>
    </row>
    <row r="5" spans="1:37">
      <c r="B5" s="42" t="s">
        <v>131</v>
      </c>
      <c r="C5" s="42"/>
      <c r="D5" s="42"/>
      <c r="E5" s="42"/>
      <c r="F5" s="272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2" t="s">
        <v>541</v>
      </c>
      <c r="N5" s="42" t="s">
        <v>132</v>
      </c>
      <c r="O5" s="42" t="s">
        <v>132</v>
      </c>
      <c r="P5" s="42"/>
      <c r="R5" s="42" t="s">
        <v>494</v>
      </c>
      <c r="S5" s="42"/>
      <c r="T5" s="42"/>
      <c r="U5" s="42"/>
      <c r="V5" s="42"/>
      <c r="W5" s="42"/>
      <c r="X5" s="42"/>
      <c r="Y5" s="42"/>
      <c r="Z5" s="42"/>
      <c r="AB5" s="270"/>
      <c r="AC5" s="270"/>
      <c r="AD5" s="270"/>
      <c r="AE5" s="270"/>
      <c r="AF5" s="270"/>
      <c r="AG5" s="270"/>
      <c r="AH5" s="270"/>
      <c r="AI5" s="57" t="s">
        <v>46</v>
      </c>
      <c r="AJ5" s="57" t="s">
        <v>46</v>
      </c>
    </row>
    <row r="6" spans="1:37" s="6" customFormat="1">
      <c r="A6" s="15"/>
      <c r="B6" s="15" t="str">
        <f t="shared" ref="B6:B43" si="0">IF($AE6="",R6,T6)</f>
        <v>*Commercial Services Space heating</v>
      </c>
      <c r="C6" s="15"/>
      <c r="D6" s="15"/>
      <c r="E6" s="266"/>
      <c r="F6" s="266"/>
      <c r="G6" s="15"/>
      <c r="H6" s="266"/>
      <c r="I6" s="266"/>
      <c r="J6" s="267"/>
      <c r="K6" s="268"/>
      <c r="L6" s="76"/>
      <c r="M6" s="76"/>
      <c r="N6" s="76"/>
      <c r="O6" s="76"/>
      <c r="P6" s="76"/>
      <c r="Q6" s="269"/>
      <c r="R6" s="15" t="str">
        <f>IF($AE6="","*"&amp;AB7&amp;" "&amp;AC7,"PRE")</f>
        <v>*Commercial Services Space heating</v>
      </c>
      <c r="S6" s="36" t="str">
        <f>IF($AE6="","",_xlfn.TEXTJOIN(",",TRUE,IF(LEFT(Regions!$C$3,1)&lt;&gt;"*",Regions!$C$3,""),IF(LEFT(Regions!$D$3,1)&lt;&gt;"*",Regions!$D$3,"")))</f>
        <v/>
      </c>
      <c r="T6" s="15" t="str">
        <f>IF($AE6="","",CONCATENATE(LEFT(Legend!$C$4),"-",$AH6,"-",$AG6,"_",$AE6,"_X0"))</f>
        <v/>
      </c>
      <c r="U6" s="15" t="str">
        <f t="shared" ref="U6:U14" si="1">IF($AE6="","",CONCATENATE(AB6," - ",AC6,": ",AD6))</f>
        <v/>
      </c>
      <c r="AA6" s="269"/>
      <c r="AI6" s="16"/>
      <c r="AJ6" s="166"/>
    </row>
    <row r="7" spans="1:37" customFormat="1">
      <c r="B7" s="27" t="str">
        <f>IF($AE7="",Q7,S7)</f>
        <v>IE,National</v>
      </c>
      <c r="C7" s="27" t="str">
        <f>IF($AE7="",R7,T7)</f>
        <v>S-SH-CS_COA_X0</v>
      </c>
      <c r="D7" s="9" t="str">
        <f t="shared" ref="D7:D14" si="2">IF($AE7="","",U7)</f>
        <v>Commercial Services - Space heating: Solids</v>
      </c>
      <c r="E7" s="43" t="str">
        <f t="shared" ref="E7:E14" si="3"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1.9762212791729328E-3</v>
      </c>
      <c r="I7" s="257">
        <f>IF($AE7="","",SUMIFS('Key Inputs'!$G$29:$G$114,'Key Inputs'!$A$29:$A$114,$AB7,'Key Inputs'!$B$29:$B$114,$AC7,'Key Inputs'!$C$29:$C$114,$AD7))</f>
        <v>0.33</v>
      </c>
      <c r="J7" s="257">
        <f>IF($AE7="","",SUMIFS('Key Inputs'!$I$29:$I$114,'Key Inputs'!$A$29:$A$114,$AB7,'Key Inputs'!$B$29:$B$114,$AC7,'Key Inputs'!$C$29:$C$114,$AD7)/8760)</f>
        <v>0.11415525114155251</v>
      </c>
      <c r="K7" s="259">
        <f>IF($AE7="","",SUMIFS('Key Inputs'!$H$29:$H$114,'Key Inputs'!$A$29:$A$114,$AB7,'Key Inputs'!$B$29:$B$114,$AC7,'Key Inputs'!$C$29:$C$114,$AD7))</f>
        <v>20</v>
      </c>
      <c r="L7" s="51">
        <f t="shared" ref="L7:L14" si="4">IF($AE7="","",31.536)</f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si="1"/>
        <v>Commercial Services - Space heating: Solids</v>
      </c>
      <c r="V7" s="9" t="str">
        <f t="shared" ref="V7:V14" si="5">IF($AE7="","","PJ")</f>
        <v>PJ</v>
      </c>
      <c r="W7" s="9" t="str">
        <f t="shared" ref="W7:W14" si="6">IF($AE7="","","GW")</f>
        <v>GW</v>
      </c>
      <c r="X7" s="9" t="str">
        <f t="shared" ref="X7:X14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2.1558777590977449E-2</v>
      </c>
      <c r="AJ7" s="16">
        <f>IF($AE7="","",H7*J7*L7)</f>
        <v>7.1143966050225584E-3</v>
      </c>
      <c r="AK7" s="5"/>
    </row>
    <row r="8" spans="1:37">
      <c r="B8" s="27" t="str">
        <f t="shared" ref="B8:B14" si="8">IF($AE8="",Q8,S8)</f>
        <v>IE,National</v>
      </c>
      <c r="C8" s="27" t="str">
        <f t="shared" ref="C8:C14" si="9">IF($AE8="",R8,T8)</f>
        <v>S-SH-CS_LPG_X0</v>
      </c>
      <c r="D8" s="9" t="str">
        <f t="shared" si="2"/>
        <v>Commercial Services - Space heating: LPG</v>
      </c>
      <c r="E8" s="43" t="str">
        <f t="shared" si="3"/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7">
        <f>IF($AE8="","",SUMIFS('Key Inputs'!$G$29:$G$114,'Key Inputs'!$A$29:$A$114,$AB8,'Key Inputs'!$B$29:$B$114,$AC8,'Key Inputs'!$C$29:$C$114,$AD8))</f>
        <v>0.33</v>
      </c>
      <c r="J8" s="257">
        <f>IF($AE8="","",SUMIFS('Key Inputs'!$I$29:$I$114,'Key Inputs'!$A$29:$A$114,$AB8,'Key Inputs'!$B$29:$B$114,$AC8,'Key Inputs'!$C$29:$C$114,$AD8)/8760)</f>
        <v>0.11415525114155251</v>
      </c>
      <c r="K8" s="259">
        <f>IF($AE8="","",SUMIFS('Key Inputs'!$H$29:$H$114,'Key Inputs'!$A$29:$A$114,$AB8,'Key Inputs'!$B$29:$B$114,$AC8,'Key Inputs'!$C$29:$C$114,$AD8))</f>
        <v>20</v>
      </c>
      <c r="L8" s="51">
        <f t="shared" si="4"/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1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10">IF($AE8="","",AJ8/I8)</f>
        <v>0</v>
      </c>
      <c r="AJ8" s="16">
        <f t="shared" ref="AJ8:AJ45" si="11">IF($AE8="","",H8*J8*L8)</f>
        <v>0</v>
      </c>
    </row>
    <row r="9" spans="1:37">
      <c r="B9" s="27" t="str">
        <f t="shared" si="8"/>
        <v>IE,National</v>
      </c>
      <c r="C9" s="27" t="str">
        <f t="shared" si="9"/>
        <v>S-SH-CS_OIL_X0</v>
      </c>
      <c r="D9" s="9" t="str">
        <f t="shared" si="2"/>
        <v>Commercial Services - Space heating: Oil</v>
      </c>
      <c r="E9" s="43" t="str">
        <f t="shared" si="3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0.40220515912331767</v>
      </c>
      <c r="I9" s="257">
        <f>IF($AE9="","",SUMIFS('Key Inputs'!$G$29:$G$114,'Key Inputs'!$A$29:$A$114,$AB9,'Key Inputs'!$B$29:$B$114,$AC9,'Key Inputs'!$C$29:$C$114,$AD9))</f>
        <v>0.6583558448972523</v>
      </c>
      <c r="J9" s="257">
        <f>IF($AE9="","",SUMIFS('Key Inputs'!$I$29:$I$114,'Key Inputs'!$A$29:$A$114,$AB9,'Key Inputs'!$B$29:$B$114,$AC9,'Key Inputs'!$C$29:$C$114,$AD9)/8760)</f>
        <v>0.11415525114155251</v>
      </c>
      <c r="K9" s="259">
        <f>IF($AE9="","",SUMIFS('Key Inputs'!$H$29:$H$114,'Key Inputs'!$A$29:$A$114,$AB9,'Key Inputs'!$B$29:$B$114,$AC9,'Key Inputs'!$C$29:$C$114,$AD9))</f>
        <v>20</v>
      </c>
      <c r="L9" s="51">
        <f t="shared" si="4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1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10"/>
        <v>2.1993251583722468</v>
      </c>
      <c r="AJ9" s="16">
        <f t="shared" si="11"/>
        <v>1.4479385728439438</v>
      </c>
    </row>
    <row r="10" spans="1:37">
      <c r="B10" s="27" t="str">
        <f t="shared" si="8"/>
        <v>IE,National</v>
      </c>
      <c r="C10" s="27" t="str">
        <f t="shared" si="9"/>
        <v>S-SH-CS_GAS_X0</v>
      </c>
      <c r="D10" s="9" t="str">
        <f t="shared" si="2"/>
        <v>Commercial Services - Space heating: Natural Gas</v>
      </c>
      <c r="E10" s="43" t="str">
        <f t="shared" si="3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1.0826505268043127</v>
      </c>
      <c r="I10" s="257">
        <f>IF($AE10="","",SUMIFS('Key Inputs'!$G$29:$G$114,'Key Inputs'!$A$29:$A$114,$AB10,'Key Inputs'!$B$29:$B$114,$AC10,'Key Inputs'!$C$29:$C$114,$AD10))</f>
        <v>0.77299617086321282</v>
      </c>
      <c r="J10" s="257">
        <f>IF($AE10="","",SUMIFS('Key Inputs'!$I$29:$I$114,'Key Inputs'!$A$29:$A$114,$AB10,'Key Inputs'!$B$29:$B$114,$AC10,'Key Inputs'!$C$29:$C$114,$AD10)/8760)</f>
        <v>0.11415525114155251</v>
      </c>
      <c r="K10" s="259">
        <f>IF($AE10="","",SUMIFS('Key Inputs'!$H$29:$H$114,'Key Inputs'!$A$29:$A$114,$AB10,'Key Inputs'!$B$29:$B$114,$AC10,'Key Inputs'!$C$29:$C$114,$AD10))</f>
        <v>20</v>
      </c>
      <c r="L10" s="51">
        <f t="shared" si="4"/>
        <v>31.536000000000001</v>
      </c>
      <c r="M10" s="51"/>
      <c r="N10" s="258">
        <f>EB_SRV!$G$30/'Key Inputs'!$F$32</f>
        <v>6.6797072879019193E-3</v>
      </c>
      <c r="O10" s="258">
        <f>N10</f>
        <v>6.6797072879019193E-3</v>
      </c>
      <c r="P10" s="58">
        <v>5</v>
      </c>
      <c r="R10" s="27" t="str">
        <f t="shared" ref="R10:R28" si="12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1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10"/>
        <v>5.0421231610282113</v>
      </c>
      <c r="AJ10" s="16">
        <f t="shared" si="11"/>
        <v>3.8975418964955257</v>
      </c>
    </row>
    <row r="11" spans="1:37">
      <c r="B11" s="27" t="str">
        <f t="shared" si="8"/>
        <v>IE,National</v>
      </c>
      <c r="C11" s="27" t="str">
        <f t="shared" si="9"/>
        <v>S-SH-CS_BIO_X0</v>
      </c>
      <c r="D11" s="9" t="str">
        <f t="shared" si="2"/>
        <v>Commercial Services - Space heating: Biomass</v>
      </c>
      <c r="E11" s="43" t="str">
        <f t="shared" si="3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2.8800453273329901E-2</v>
      </c>
      <c r="I11" s="257">
        <f>IF($AE11="","",SUMIFS('Key Inputs'!$G$29:$G$114,'Key Inputs'!$A$29:$A$114,$AB11,'Key Inputs'!$B$29:$B$114,$AC11,'Key Inputs'!$C$29:$C$114,$AD11))</f>
        <v>0.63490443337371294</v>
      </c>
      <c r="J11" s="257">
        <f>IF($AE11="","",SUMIFS('Key Inputs'!$I$29:$I$114,'Key Inputs'!$A$29:$A$114,$AB11,'Key Inputs'!$B$29:$B$114,$AC11,'Key Inputs'!$C$29:$C$114,$AD11)/8760)</f>
        <v>0.11415525114155251</v>
      </c>
      <c r="K11" s="259">
        <f>IF($AE11="","",SUMIFS('Key Inputs'!$H$29:$H$114,'Key Inputs'!$A$29:$A$114,$AB11,'Key Inputs'!$B$29:$B$114,$AC11,'Key Inputs'!$C$29:$C$114,$AD11))</f>
        <v>20</v>
      </c>
      <c r="L11" s="51">
        <f t="shared" si="4"/>
        <v>31.536000000000001</v>
      </c>
      <c r="M11" s="51"/>
      <c r="N11" s="51"/>
      <c r="O11" s="51"/>
      <c r="P11" s="51"/>
      <c r="R11" s="27" t="str">
        <f t="shared" si="12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1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10"/>
        <v>0.16330273712698948</v>
      </c>
      <c r="AJ11" s="16">
        <f t="shared" si="11"/>
        <v>0.10368163178398765</v>
      </c>
    </row>
    <row r="12" spans="1:37">
      <c r="B12" s="27" t="str">
        <f t="shared" si="8"/>
        <v>IE,National</v>
      </c>
      <c r="C12" s="27" t="str">
        <f t="shared" si="9"/>
        <v>S-SH-CS_SOL_X0</v>
      </c>
      <c r="D12" s="9" t="str">
        <f t="shared" si="2"/>
        <v>Commercial Services - Space heating: Solar</v>
      </c>
      <c r="E12" s="43" t="str">
        <f t="shared" si="3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7">
        <f>IF($AE12="","",SUMIFS('Key Inputs'!$G$29:$G$114,'Key Inputs'!$A$29:$A$114,$AB12,'Key Inputs'!$B$29:$B$114,$AC12,'Key Inputs'!$C$29:$C$114,$AD12))</f>
        <v>0.33</v>
      </c>
      <c r="J12" s="257">
        <f>IF($AE12="","",SUMIFS('Key Inputs'!$I$29:$I$114,'Key Inputs'!$A$29:$A$114,$AB12,'Key Inputs'!$B$29:$B$114,$AC12,'Key Inputs'!$C$29:$C$114,$AD12)/8760)</f>
        <v>0.11415525114155251</v>
      </c>
      <c r="K12" s="259">
        <f>IF($AE12="","",SUMIFS('Key Inputs'!$H$29:$H$114,'Key Inputs'!$A$29:$A$114,$AB12,'Key Inputs'!$B$29:$B$114,$AC12,'Key Inputs'!$C$29:$C$114,$AD12))</f>
        <v>15</v>
      </c>
      <c r="L12" s="51">
        <f t="shared" si="4"/>
        <v>31.536000000000001</v>
      </c>
      <c r="M12" s="51"/>
      <c r="N12" s="51"/>
      <c r="O12" s="51"/>
      <c r="P12" s="51"/>
      <c r="R12" s="27" t="str">
        <f t="shared" si="12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1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10"/>
        <v>0</v>
      </c>
      <c r="AJ12" s="16">
        <f t="shared" si="11"/>
        <v>0</v>
      </c>
    </row>
    <row r="13" spans="1:37" customFormat="1">
      <c r="B13" s="27" t="str">
        <f t="shared" si="8"/>
        <v>IE,National</v>
      </c>
      <c r="C13" s="27" t="str">
        <f t="shared" si="9"/>
        <v>S-SH-CS_ELC-HP_X0</v>
      </c>
      <c r="D13" s="9" t="str">
        <f t="shared" si="2"/>
        <v>Commercial Services - Space heating: Electricity (heat pumps)</v>
      </c>
      <c r="E13" s="43" t="str">
        <f t="shared" si="3"/>
        <v>SRVELC</v>
      </c>
      <c r="F13" s="43" t="str">
        <f>Legend!$C$44</f>
        <v>SRVAHT</v>
      </c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0.46545410785843977</v>
      </c>
      <c r="I13" s="257">
        <f>IF($AE13="","",SUMIFS('Key Inputs'!$G$29:$G$114,'Key Inputs'!$A$29:$A$114,$AB13,'Key Inputs'!$B$29:$B$114,$AC13,'Key Inputs'!$C$29:$C$114,$AD13))</f>
        <v>2.7470543738547222</v>
      </c>
      <c r="J13" s="257">
        <f>IF($AE13="","",SUMIFS('Key Inputs'!$I$29:$I$114,'Key Inputs'!$A$29:$A$114,$AB13,'Key Inputs'!$B$29:$B$114,$AC13,'Key Inputs'!$C$29:$C$114,$AD13)/8760)</f>
        <v>0.11415525114155251</v>
      </c>
      <c r="K13" s="259">
        <f>IF($AE13="","",SUMIFS('Key Inputs'!$H$29:$H$114,'Key Inputs'!$A$29:$A$114,$AB13,'Key Inputs'!$B$29:$B$114,$AC13,'Key Inputs'!$C$29:$C$114,$AD13))</f>
        <v>10</v>
      </c>
      <c r="L13" s="51">
        <f t="shared" si="4"/>
        <v>31.536000000000001</v>
      </c>
      <c r="M13" s="51">
        <f>'Key Inputs'!L35/'Key Inputs'!J35</f>
        <v>0.39109765943224511</v>
      </c>
      <c r="N13" s="51"/>
      <c r="O13" s="51"/>
      <c r="P13" s="51"/>
      <c r="R13" s="27" t="str">
        <f t="shared" si="12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1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10"/>
        <v>0.6099751079695952</v>
      </c>
      <c r="AJ13" s="16">
        <f t="shared" si="11"/>
        <v>1.675634788290383</v>
      </c>
      <c r="AK13" s="5"/>
    </row>
    <row r="14" spans="1:37">
      <c r="B14" s="27" t="str">
        <f t="shared" si="8"/>
        <v>IE,National</v>
      </c>
      <c r="C14" s="27" t="str">
        <f t="shared" si="9"/>
        <v>S-SH-CS_ELC_X0</v>
      </c>
      <c r="D14" s="9" t="str">
        <f t="shared" si="2"/>
        <v>Commercial Services - Space heating: Electricity (heaters)</v>
      </c>
      <c r="E14" s="43" t="str">
        <f t="shared" si="3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0.59760844012915648</v>
      </c>
      <c r="I14" s="257">
        <f>IF($AE14="","",SUMIFS('Key Inputs'!$G$29:$G$114,'Key Inputs'!$A$29:$A$114,$AB14,'Key Inputs'!$B$29:$B$114,$AC14,'Key Inputs'!$C$29:$C$114,$AD14))</f>
        <v>0.81595511259153475</v>
      </c>
      <c r="J14" s="257">
        <f>IF($AE14="","",SUMIFS('Key Inputs'!$I$29:$I$114,'Key Inputs'!$A$29:$A$114,$AB14,'Key Inputs'!$B$29:$B$114,$AC14,'Key Inputs'!$C$29:$C$114,$AD14)/8760)</f>
        <v>0.11415525114155251</v>
      </c>
      <c r="K14" s="259">
        <f>IF($AE14="","",SUMIFS('Key Inputs'!$H$29:$H$114,'Key Inputs'!$A$29:$A$114,$AB14,'Key Inputs'!$B$29:$B$114,$AC14,'Key Inputs'!$C$29:$C$114,$AD14))</f>
        <v>10</v>
      </c>
      <c r="L14" s="51">
        <f t="shared" si="4"/>
        <v>31.536000000000001</v>
      </c>
      <c r="M14" s="51"/>
      <c r="N14" s="262"/>
      <c r="O14" s="262"/>
      <c r="P14" s="262"/>
      <c r="R14" s="27" t="str">
        <f t="shared" si="12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1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10"/>
        <v>2.6366528639449118</v>
      </c>
      <c r="AJ14" s="16">
        <f t="shared" si="11"/>
        <v>2.1513903844649631</v>
      </c>
    </row>
    <row r="15" spans="1:37" s="269" customFormat="1">
      <c r="B15" s="15" t="str">
        <f t="shared" si="0"/>
        <v>*Commercial Services Water heating</v>
      </c>
      <c r="C15" s="15"/>
      <c r="D15" s="15"/>
      <c r="E15" s="266"/>
      <c r="F15" s="266"/>
      <c r="G15" s="15"/>
      <c r="H15" s="266"/>
      <c r="I15" s="267"/>
      <c r="J15" s="267"/>
      <c r="K15" s="268"/>
      <c r="L15" s="76"/>
      <c r="M15" s="76"/>
      <c r="N15" s="76"/>
      <c r="O15" s="76"/>
      <c r="P15" s="76"/>
      <c r="R15" s="15" t="str">
        <f t="shared" si="12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6"/>
      <c r="AK15" s="6"/>
    </row>
    <row r="16" spans="1:37">
      <c r="B16" s="27" t="str">
        <f t="shared" ref="B16" si="13">IF($AE16="",Q16,S16)</f>
        <v>IE,National</v>
      </c>
      <c r="C16" s="27" t="str">
        <f t="shared" ref="C16" si="14">IF($AE16="",R16,T16)</f>
        <v>S-WH-CS_COA_X0</v>
      </c>
      <c r="D16" s="9" t="str">
        <f t="shared" ref="D16:D22" si="15">IF($AE16="","",U16)</f>
        <v>Commercial Services - Water heating: Solids</v>
      </c>
      <c r="E16" s="43" t="str">
        <f t="shared" ref="E16:E22" si="16">IF($AE16="","",AF16)</f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7">
        <f>IF($AE16="","",SUMIFS('Key Inputs'!$G$29:$G$114,'Key Inputs'!$A$29:$A$114,$AB16,'Key Inputs'!$B$29:$B$114,$AC16,'Key Inputs'!$C$29:$C$114,$AD16))</f>
        <v>0.33</v>
      </c>
      <c r="J16" s="257">
        <f>IF($AE16="","",SUMIFS('Key Inputs'!$I$29:$I$114,'Key Inputs'!$A$29:$A$114,$AB16,'Key Inputs'!$B$29:$B$114,$AC16,'Key Inputs'!$C$29:$C$114,$AD16)/8760)</f>
        <v>2.2831050228310501E-2</v>
      </c>
      <c r="K16" s="259">
        <f>IF($AE16="","",SUMIFS('Key Inputs'!$H$29:$H$114,'Key Inputs'!$A$29:$A$114,$AB16,'Key Inputs'!$B$29:$B$114,$AC16,'Key Inputs'!$C$29:$C$114,$AD16))</f>
        <v>20</v>
      </c>
      <c r="L16" s="51">
        <f t="shared" ref="L16:L22" si="17">IF($AE16="","",31.536)</f>
        <v>31.536000000000001</v>
      </c>
      <c r="M16" s="51"/>
      <c r="N16" s="51"/>
      <c r="O16" s="51"/>
      <c r="P16" s="51"/>
      <c r="R16" s="27" t="str">
        <f t="shared" si="12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ref="U16:U22" si="18">IF($AE16="","",CONCATENATE(AB16," - ",AC16,": ",AD16))</f>
        <v>Commercial Services - Water heating: Solids</v>
      </c>
      <c r="V16" s="9" t="str">
        <f t="shared" ref="V16:V22" si="19">IF($AE16="","","PJ")</f>
        <v>PJ</v>
      </c>
      <c r="W16" s="9" t="str">
        <f t="shared" ref="W16:W22" si="20">IF($AE16="","","GW")</f>
        <v>GW</v>
      </c>
      <c r="X16" s="9" t="str">
        <f t="shared" ref="X16:X22" si="21">IF($AE16="","","ANNUAL")</f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10"/>
        <v>0</v>
      </c>
      <c r="AJ16" s="16">
        <f t="shared" si="11"/>
        <v>0</v>
      </c>
    </row>
    <row r="17" spans="1:36">
      <c r="B17" s="27" t="str">
        <f t="shared" ref="B17:B22" si="22">IF($AE17="",Q17,S17)</f>
        <v>IE,National</v>
      </c>
      <c r="C17" s="27" t="str">
        <f t="shared" ref="C17:C22" si="23">IF($AE17="",R17,T17)</f>
        <v>S-WH-CS_LPG_X0</v>
      </c>
      <c r="D17" s="9" t="str">
        <f t="shared" si="15"/>
        <v>Commercial Services - Water heating: LPG</v>
      </c>
      <c r="E17" s="43" t="str">
        <f t="shared" si="16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7">
        <f>IF($AE17="","",SUMIFS('Key Inputs'!$G$29:$G$114,'Key Inputs'!$A$29:$A$114,$AB17,'Key Inputs'!$B$29:$B$114,$AC17,'Key Inputs'!$C$29:$C$114,$AD17))</f>
        <v>0.33</v>
      </c>
      <c r="J17" s="257">
        <f>IF($AE17="","",SUMIFS('Key Inputs'!$I$29:$I$114,'Key Inputs'!$A$29:$A$114,$AB17,'Key Inputs'!$B$29:$B$114,$AC17,'Key Inputs'!$C$29:$C$114,$AD17)/8760)</f>
        <v>2.2831050228310501E-2</v>
      </c>
      <c r="K17" s="259">
        <f>IF($AE17="","",SUMIFS('Key Inputs'!$H$29:$H$114,'Key Inputs'!$A$29:$A$114,$AB17,'Key Inputs'!$B$29:$B$114,$AC17,'Key Inputs'!$C$29:$C$114,$AD17))</f>
        <v>20</v>
      </c>
      <c r="L17" s="51">
        <f t="shared" si="17"/>
        <v>31.536000000000001</v>
      </c>
      <c r="M17" s="51"/>
      <c r="N17" s="51"/>
      <c r="O17" s="51"/>
      <c r="P17" s="51"/>
      <c r="R17" s="27" t="str">
        <f t="shared" si="12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18"/>
        <v>Commercial Services - Water heating: LPG</v>
      </c>
      <c r="V17" s="9" t="str">
        <f t="shared" si="19"/>
        <v>PJ</v>
      </c>
      <c r="W17" s="9" t="str">
        <f t="shared" si="20"/>
        <v>GW</v>
      </c>
      <c r="X17" s="9" t="str">
        <f t="shared" si="21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10"/>
        <v>0</v>
      </c>
      <c r="AJ17" s="16">
        <f t="shared" si="11"/>
        <v>0</v>
      </c>
    </row>
    <row r="18" spans="1:36">
      <c r="B18" s="27" t="str">
        <f t="shared" si="22"/>
        <v>IE,National</v>
      </c>
      <c r="C18" s="27" t="str">
        <f t="shared" si="23"/>
        <v>S-WH-CS_OIL_X0</v>
      </c>
      <c r="D18" s="9" t="str">
        <f t="shared" si="15"/>
        <v>Commercial Services - Water heating: Oil</v>
      </c>
      <c r="E18" s="43" t="str">
        <f t="shared" si="16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0.5413610668500467</v>
      </c>
      <c r="I18" s="257">
        <f>IF($AE18="","",SUMIFS('Key Inputs'!$G$29:$G$114,'Key Inputs'!$A$29:$A$114,$AB18,'Key Inputs'!$B$29:$B$114,$AC18,'Key Inputs'!$C$29:$C$114,$AD18))</f>
        <v>0.59834963673469854</v>
      </c>
      <c r="J18" s="257">
        <f>IF($AE18="","",SUMIFS('Key Inputs'!$I$29:$I$114,'Key Inputs'!$A$29:$A$114,$AB18,'Key Inputs'!$B$29:$B$114,$AC18,'Key Inputs'!$C$29:$C$114,$AD18)/8760)</f>
        <v>2.2831050228310501E-2</v>
      </c>
      <c r="K18" s="259">
        <f>IF($AE18="","",SUMIFS('Key Inputs'!$H$29:$H$114,'Key Inputs'!$A$29:$A$114,$AB18,'Key Inputs'!$B$29:$B$114,$AC18,'Key Inputs'!$C$29:$C$114,$AD18))</f>
        <v>20</v>
      </c>
      <c r="L18" s="51">
        <f t="shared" si="17"/>
        <v>31.536000000000001</v>
      </c>
      <c r="M18" s="51"/>
      <c r="N18" s="5"/>
      <c r="O18" s="5"/>
      <c r="P18" s="5"/>
      <c r="R18" s="27" t="str">
        <f t="shared" si="12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18"/>
        <v>Commercial Services - Water heating: Oil</v>
      </c>
      <c r="V18" s="9" t="str">
        <f t="shared" si="19"/>
        <v>PJ</v>
      </c>
      <c r="W18" s="9" t="str">
        <f t="shared" si="20"/>
        <v>GW</v>
      </c>
      <c r="X18" s="9" t="str">
        <f t="shared" si="21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10"/>
        <v>0.65142509362775403</v>
      </c>
      <c r="AJ18" s="16">
        <f t="shared" si="11"/>
        <v>0.38977996813203364</v>
      </c>
    </row>
    <row r="19" spans="1:36">
      <c r="B19" s="27" t="str">
        <f t="shared" si="22"/>
        <v>IE,National</v>
      </c>
      <c r="C19" s="27" t="str">
        <f t="shared" si="23"/>
        <v>S-WH-CS_GAS_X0</v>
      </c>
      <c r="D19" s="9" t="str">
        <f t="shared" si="15"/>
        <v>Commercial Services - Water heating: Natural Gas</v>
      </c>
      <c r="E19" s="43" t="str">
        <f t="shared" si="16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1.299890861360105</v>
      </c>
      <c r="I19" s="257">
        <f>IF($AE19="","",SUMIFS('Key Inputs'!$G$29:$G$114,'Key Inputs'!$A$29:$A$114,$AB19,'Key Inputs'!$B$29:$B$114,$AC19,'Key Inputs'!$C$29:$C$114,$AD19))</f>
        <v>0.63024757853709534</v>
      </c>
      <c r="J19" s="257">
        <f>IF($AE19="","",SUMIFS('Key Inputs'!$I$29:$I$114,'Key Inputs'!$A$29:$A$114,$AB19,'Key Inputs'!$B$29:$B$114,$AC19,'Key Inputs'!$C$29:$C$114,$AD19)/8760)</f>
        <v>2.2831050228310501E-2</v>
      </c>
      <c r="K19" s="259">
        <f>IF($AE19="","",SUMIFS('Key Inputs'!$H$29:$H$114,'Key Inputs'!$A$29:$A$114,$AB19,'Key Inputs'!$B$29:$B$114,$AC19,'Key Inputs'!$C$29:$C$114,$AD19))</f>
        <v>20</v>
      </c>
      <c r="L19" s="51">
        <f t="shared" si="17"/>
        <v>31.536000000000001</v>
      </c>
      <c r="M19" s="51"/>
      <c r="N19" s="72">
        <f>EB_SRV!G41/'Key Inputs'!F41</f>
        <v>0</v>
      </c>
      <c r="O19" s="72">
        <f>N19</f>
        <v>0</v>
      </c>
      <c r="P19" s="58">
        <v>5</v>
      </c>
      <c r="R19" s="27" t="str">
        <f t="shared" si="12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18"/>
        <v>Commercial Services - Water heating: Natural Gas</v>
      </c>
      <c r="V19" s="9" t="str">
        <f t="shared" si="19"/>
        <v>PJ</v>
      </c>
      <c r="W19" s="9" t="str">
        <f t="shared" si="20"/>
        <v>GW</v>
      </c>
      <c r="X19" s="9" t="str">
        <f t="shared" si="21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10"/>
        <v>1.4850059755115566</v>
      </c>
      <c r="AJ19" s="16">
        <f t="shared" si="11"/>
        <v>0.9359214201792756</v>
      </c>
    </row>
    <row r="20" spans="1:36">
      <c r="B20" s="27" t="str">
        <f t="shared" si="22"/>
        <v>IE,National</v>
      </c>
      <c r="C20" s="27" t="str">
        <f t="shared" si="23"/>
        <v>S-WH-CS_BIO_X0</v>
      </c>
      <c r="D20" s="9" t="str">
        <f t="shared" si="15"/>
        <v>Commercial Services - Water heating: Biomass</v>
      </c>
      <c r="E20" s="43" t="str">
        <f t="shared" si="16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7">
        <f>IF($AE20="","",SUMIFS('Key Inputs'!$G$29:$G$114,'Key Inputs'!$A$29:$A$114,$AB20,'Key Inputs'!$B$29:$B$114,$AC20,'Key Inputs'!$C$29:$C$114,$AD20))</f>
        <v>0.33</v>
      </c>
      <c r="J20" s="257">
        <f>IF($AE20="","",SUMIFS('Key Inputs'!$I$29:$I$114,'Key Inputs'!$A$29:$A$114,$AB20,'Key Inputs'!$B$29:$B$114,$AC20,'Key Inputs'!$C$29:$C$114,$AD20)/8760)</f>
        <v>2.2831050228310501E-2</v>
      </c>
      <c r="K20" s="259">
        <f>IF($AE20="","",SUMIFS('Key Inputs'!$H$29:$H$114,'Key Inputs'!$A$29:$A$114,$AB20,'Key Inputs'!$B$29:$B$114,$AC20,'Key Inputs'!$C$29:$C$114,$AD20))</f>
        <v>20</v>
      </c>
      <c r="L20" s="51">
        <f t="shared" si="17"/>
        <v>31.536000000000001</v>
      </c>
      <c r="M20" s="51"/>
      <c r="N20" s="51"/>
      <c r="O20" s="51"/>
      <c r="P20" s="51"/>
      <c r="R20" s="27" t="str">
        <f t="shared" si="12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18"/>
        <v>Commercial Services - Water heating: Biomass</v>
      </c>
      <c r="V20" s="9" t="str">
        <f t="shared" si="19"/>
        <v>PJ</v>
      </c>
      <c r="W20" s="9" t="str">
        <f t="shared" si="20"/>
        <v>GW</v>
      </c>
      <c r="X20" s="9" t="str">
        <f t="shared" si="21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10"/>
        <v>0</v>
      </c>
      <c r="AJ20" s="16">
        <f t="shared" si="11"/>
        <v>0</v>
      </c>
    </row>
    <row r="21" spans="1:36">
      <c r="B21" s="27" t="str">
        <f t="shared" si="22"/>
        <v>IE,National</v>
      </c>
      <c r="C21" s="27" t="str">
        <f t="shared" si="23"/>
        <v>S-WH-CS_ELC_X0</v>
      </c>
      <c r="D21" s="9" t="str">
        <f t="shared" si="15"/>
        <v>Commercial Services - Water heating: Electricity</v>
      </c>
      <c r="E21" s="43" t="str">
        <f t="shared" si="16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1.6187227433945637</v>
      </c>
      <c r="I21" s="257">
        <f>IF($AE21="","",SUMIFS('Key Inputs'!$G$29:$G$114,'Key Inputs'!$A$29:$A$114,$AB21,'Key Inputs'!$B$29:$B$114,$AC21,'Key Inputs'!$C$29:$C$114,$AD21))</f>
        <v>0.7791533881609447</v>
      </c>
      <c r="J21" s="257">
        <f>IF($AE21="","",SUMIFS('Key Inputs'!$I$29:$I$114,'Key Inputs'!$A$29:$A$114,$AB21,'Key Inputs'!$B$29:$B$114,$AC21,'Key Inputs'!$C$29:$C$114,$AD21)/8760)</f>
        <v>2.2831050228310501E-2</v>
      </c>
      <c r="K21" s="259">
        <f>IF($AE21="","",SUMIFS('Key Inputs'!$H$29:$H$114,'Key Inputs'!$A$29:$A$114,$AB21,'Key Inputs'!$B$29:$B$114,$AC21,'Key Inputs'!$C$29:$C$114,$AD21))</f>
        <v>10</v>
      </c>
      <c r="L21" s="51">
        <f t="shared" si="17"/>
        <v>31.536000000000001</v>
      </c>
      <c r="M21" s="51"/>
      <c r="N21" s="51"/>
      <c r="O21" s="51"/>
      <c r="P21" s="51"/>
      <c r="R21" s="27" t="str">
        <f t="shared" si="12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18"/>
        <v>Commercial Services - Water heating: Electricity</v>
      </c>
      <c r="V21" s="9" t="str">
        <f t="shared" si="19"/>
        <v>PJ</v>
      </c>
      <c r="W21" s="9" t="str">
        <f t="shared" si="20"/>
        <v>GW</v>
      </c>
      <c r="X21" s="9" t="str">
        <f t="shared" si="21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10"/>
        <v>1.4958291819727543</v>
      </c>
      <c r="AJ21" s="16">
        <f t="shared" si="11"/>
        <v>1.1654803752440859</v>
      </c>
    </row>
    <row r="22" spans="1:36">
      <c r="B22" s="27" t="str">
        <f t="shared" si="22"/>
        <v>IE,National</v>
      </c>
      <c r="C22" s="27" t="str">
        <f t="shared" si="23"/>
        <v>S-WH-CS_SOL_X0</v>
      </c>
      <c r="D22" s="9" t="str">
        <f t="shared" si="15"/>
        <v>Commercial Services - Water heating: Solar</v>
      </c>
      <c r="E22" s="43" t="str">
        <f t="shared" si="16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7">
        <f>IF($AE22="","",SUMIFS('Key Inputs'!$G$29:$G$114,'Key Inputs'!$A$29:$A$114,$AB22,'Key Inputs'!$B$29:$B$114,$AC22,'Key Inputs'!$C$29:$C$114,$AD22))</f>
        <v>0.99999999999999989</v>
      </c>
      <c r="J22" s="257">
        <f>IF($AE22="","",SUMIFS('Key Inputs'!$I$29:$I$114,'Key Inputs'!$A$29:$A$114,$AB22,'Key Inputs'!$B$29:$B$114,$AC22,'Key Inputs'!$C$29:$C$114,$AD22)/8760)</f>
        <v>2.2831050228310501E-2</v>
      </c>
      <c r="K22" s="259">
        <f>IF($AE22="","",SUMIFS('Key Inputs'!$H$29:$H$114,'Key Inputs'!$A$29:$A$114,$AB22,'Key Inputs'!$B$29:$B$114,$AC22,'Key Inputs'!$C$29:$C$114,$AD22))</f>
        <v>15</v>
      </c>
      <c r="L22" s="51">
        <f t="shared" si="17"/>
        <v>31.536000000000001</v>
      </c>
      <c r="M22" s="51"/>
      <c r="N22" s="51"/>
      <c r="O22" s="51"/>
      <c r="P22" s="51"/>
      <c r="R22" s="27" t="str">
        <f t="shared" si="12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18"/>
        <v>Commercial Services - Water heating: Solar</v>
      </c>
      <c r="V22" s="9" t="str">
        <f t="shared" si="19"/>
        <v>PJ</v>
      </c>
      <c r="W22" s="9" t="str">
        <f t="shared" si="20"/>
        <v>GW</v>
      </c>
      <c r="X22" s="9" t="str">
        <f t="shared" si="21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10"/>
        <v>6.9707984942638888E-3</v>
      </c>
      <c r="AJ22" s="16">
        <f t="shared" si="11"/>
        <v>6.9707984942638879E-3</v>
      </c>
    </row>
    <row r="23" spans="1:36" s="6" customFormat="1">
      <c r="A23" s="15"/>
      <c r="B23" s="15" t="str">
        <f t="shared" si="0"/>
        <v>*Commercial Services Space cooling</v>
      </c>
      <c r="C23" s="15"/>
      <c r="D23" s="15"/>
      <c r="E23" s="266"/>
      <c r="F23" s="266"/>
      <c r="G23" s="15"/>
      <c r="H23" s="266"/>
      <c r="I23" s="267"/>
      <c r="J23" s="267"/>
      <c r="K23" s="268"/>
      <c r="L23" s="76"/>
      <c r="M23" s="76"/>
      <c r="N23" s="15"/>
      <c r="O23" s="15"/>
      <c r="P23" s="15"/>
      <c r="Q23" s="269"/>
      <c r="R23" s="15" t="str">
        <f t="shared" si="12"/>
        <v>*Commercial Services Space cooling</v>
      </c>
      <c r="S23" s="36"/>
      <c r="T23" s="15"/>
      <c r="U23" s="15"/>
      <c r="V23" s="15"/>
      <c r="W23" s="15"/>
      <c r="X23" s="15"/>
      <c r="Y23" s="269"/>
      <c r="Z23" s="269"/>
      <c r="AA23" s="269"/>
      <c r="AI23" s="16"/>
      <c r="AJ23" s="166"/>
    </row>
    <row r="24" spans="1:36">
      <c r="B24" s="27" t="str">
        <f t="shared" ref="B24:C25" si="24">IF($AE24="",Q24,S24)</f>
        <v>IE,National</v>
      </c>
      <c r="C24" s="27" t="str">
        <f t="shared" si="24"/>
        <v>S-SC-CS_GAS_X0</v>
      </c>
      <c r="D24" s="9" t="str">
        <f>IF($AE24="","",U24)</f>
        <v>Commercial Services - Space cooling: Natural Gas</v>
      </c>
      <c r="E24" s="43" t="str">
        <f>IF($AE24="","",AF24)</f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1.2399568883467525E-2</v>
      </c>
      <c r="I24" s="257">
        <f>IF($AE24="","",SUMIFS('Key Inputs'!$G$29:$G$114,'Key Inputs'!$A$29:$A$114,$AB24,'Key Inputs'!$B$29:$B$114,$AC24,'Key Inputs'!$C$29:$C$114,$AD24))</f>
        <v>2.7679848891515557</v>
      </c>
      <c r="J24" s="257">
        <f>IF($AE24="","",SUMIFS('Key Inputs'!$I$29:$I$114,'Key Inputs'!$A$29:$A$114,$AB24,'Key Inputs'!$B$29:$B$114,$AC24,'Key Inputs'!$C$29:$C$114,$AD24)/8760)</f>
        <v>3.4246575342465752E-2</v>
      </c>
      <c r="K24" s="259">
        <f>IF($AE24="","",SUMIFS('Key Inputs'!$H$29:$H$114,'Key Inputs'!$A$29:$A$114,$AB24,'Key Inputs'!$B$29:$B$114,$AC24,'Key Inputs'!$C$29:$C$114,$AD24))</f>
        <v>15</v>
      </c>
      <c r="L24" s="51">
        <f>IF($AE24="","",31.536)</f>
        <v>31.536000000000001</v>
      </c>
      <c r="M24" s="51"/>
      <c r="R24" s="27" t="str">
        <f t="shared" si="12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>IF($AE24="","",CONCATENATE(AB24," - ",AC24,": ",AD24))</f>
        <v>Commercial Services - Space cooling: Natural Gas</v>
      </c>
      <c r="V24" s="9" t="str">
        <f>IF($AE24="","","PJ")</f>
        <v>PJ</v>
      </c>
      <c r="W24" s="9" t="str">
        <f>IF($AE24="","","GW")</f>
        <v>GW</v>
      </c>
      <c r="X24" s="9" t="str">
        <f>IF($AE24="","","ANNUAL")</f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10"/>
        <v>4.83800849008598E-3</v>
      </c>
      <c r="AJ24" s="16">
        <f t="shared" si="11"/>
        <v>1.3391534394144927E-2</v>
      </c>
    </row>
    <row r="25" spans="1:36">
      <c r="B25" s="34" t="str">
        <f t="shared" si="24"/>
        <v>IE,National</v>
      </c>
      <c r="C25" s="34" t="str">
        <f t="shared" si="24"/>
        <v>S-SC-CS_ELC_X0</v>
      </c>
      <c r="D25" s="14" t="str">
        <f>IF($AE25="","",U25)</f>
        <v>Commercial Services - Space cooling: Electricity</v>
      </c>
      <c r="E25" s="78" t="str">
        <f>IF($AE25="","",AF25)</f>
        <v>SRVELC</v>
      </c>
      <c r="F25" s="78"/>
      <c r="G25" s="14" t="str">
        <f>IF($AE25="","",CONCATENATE(Legend!$C$4,AH25,"-",AG25))</f>
        <v>SRVSC-CS</v>
      </c>
      <c r="H25" s="78">
        <f>IF($AE25="","",SUMIFS('Key Inputs'!$K$29:$K$114,'Key Inputs'!$A$29:$A$114,$AB25,'Key Inputs'!$B$29:$B$114,$AC25,'Key Inputs'!$C$29:$C$114,$AD25))</f>
        <v>3.3369462251856228</v>
      </c>
      <c r="I25" s="264">
        <f>IF($AE25="","",SUMIFS('Key Inputs'!$G$29:$G$114,'Key Inputs'!$A$29:$A$114,$AB25,'Key Inputs'!$B$29:$B$114,$AC25,'Key Inputs'!$C$29:$C$114,$AD25))</f>
        <v>2.7466471585410193</v>
      </c>
      <c r="J25" s="264">
        <f>IF($AE25="","",SUMIFS('Key Inputs'!$I$29:$I$114,'Key Inputs'!$A$29:$A$114,$AB25,'Key Inputs'!$B$29:$B$114,$AC25,'Key Inputs'!$C$29:$C$114,$AD25)/8760)</f>
        <v>3.4246575342465752E-2</v>
      </c>
      <c r="K25" s="265">
        <f>IF($AE25="","",SUMIFS('Key Inputs'!$H$29:$H$114,'Key Inputs'!$A$29:$A$114,$AB25,'Key Inputs'!$B$29:$B$114,$AC25,'Key Inputs'!$C$29:$C$114,$AD25))</f>
        <v>15</v>
      </c>
      <c r="L25" s="154">
        <f>IF($AE25="","",31.536)</f>
        <v>31.536000000000001</v>
      </c>
      <c r="M25" s="154"/>
      <c r="N25" s="74"/>
      <c r="O25" s="74"/>
      <c r="P25" s="74"/>
      <c r="R25" s="34" t="str">
        <f t="shared" si="12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>IF($AE25="","",CONCATENATE(AB25," - ",AC25,": ",AD25))</f>
        <v>Commercial Services - Space cooling: Electricity</v>
      </c>
      <c r="V25" s="14" t="str">
        <f>IF($AE25="","","PJ")</f>
        <v>PJ</v>
      </c>
      <c r="W25" s="14" t="str">
        <f>IF($AE25="","","GW")</f>
        <v>GW</v>
      </c>
      <c r="X25" s="14" t="str">
        <f>IF($AE25="","","ANNUAL")</f>
        <v>ANNUAL</v>
      </c>
      <c r="Y25" s="74"/>
      <c r="Z25" s="74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10"/>
        <v>1.3121095339798998</v>
      </c>
      <c r="AJ25" s="16">
        <f t="shared" si="11"/>
        <v>3.6039019232004725</v>
      </c>
    </row>
    <row r="26" spans="1:36" s="6" customFormat="1">
      <c r="A26" s="15"/>
      <c r="B26" s="15" t="str">
        <f t="shared" si="0"/>
        <v>*Public Services Space heating</v>
      </c>
      <c r="C26" s="15"/>
      <c r="D26" s="15"/>
      <c r="E26" s="266"/>
      <c r="F26" s="266"/>
      <c r="G26" s="15"/>
      <c r="H26" s="266"/>
      <c r="I26" s="267"/>
      <c r="J26" s="267"/>
      <c r="K26" s="268"/>
      <c r="L26" s="76"/>
      <c r="M26" s="76"/>
      <c r="N26" s="269"/>
      <c r="O26" s="269"/>
      <c r="P26" s="269"/>
      <c r="Q26" s="269"/>
      <c r="R26" s="15" t="str">
        <f t="shared" si="12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9"/>
      <c r="AI26" s="16"/>
      <c r="AJ26" s="16"/>
    </row>
    <row r="27" spans="1:36">
      <c r="B27" s="27" t="str">
        <f t="shared" ref="B27:C34" si="25">IF($AE27="",Q27,S27)</f>
        <v>IE,National</v>
      </c>
      <c r="C27" s="27" t="str">
        <f t="shared" si="25"/>
        <v>S-SH-PU_COA_X0</v>
      </c>
      <c r="D27" s="9" t="str">
        <f t="shared" ref="D27:D34" si="26">IF($AE27="","",U27)</f>
        <v>Public Services - Space heating: Solids</v>
      </c>
      <c r="E27" s="43" t="str">
        <f t="shared" ref="E27:E34" si="27">IF($AE27="","",AF27)</f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1.9186614360902255E-5</v>
      </c>
      <c r="I27" s="257">
        <f>IF($AE27="","",SUMIFS('Key Inputs'!$G$29:$G$114,'Key Inputs'!$A$29:$A$114,$AB27,'Key Inputs'!$B$29:$B$114,$AC27,'Key Inputs'!$C$29:$C$114,$AD27))</f>
        <v>0.33</v>
      </c>
      <c r="J27" s="257">
        <f>IF($AE27="","",SUMIFS('Key Inputs'!$I$29:$I$114,'Key Inputs'!$A$29:$A$114,$AB27,'Key Inputs'!$B$29:$B$114,$AC27,'Key Inputs'!$C$29:$C$114,$AD27)/8760)</f>
        <v>0.11415525114155251</v>
      </c>
      <c r="K27" s="259">
        <f>IF($AE27="","",SUMIFS('Key Inputs'!$H$29:$H$114,'Key Inputs'!$A$29:$A$114,$AB27,'Key Inputs'!$B$29:$B$114,$AC27,'Key Inputs'!$C$29:$C$114,$AD27))</f>
        <v>20</v>
      </c>
      <c r="L27" s="51">
        <f t="shared" ref="L27:L34" si="28">IF($AE27="","",31.536)</f>
        <v>31.536000000000001</v>
      </c>
      <c r="M27" s="51"/>
      <c r="R27" s="27" t="str">
        <f t="shared" si="12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ref="U27:U34" si="29">IF($AE27="","",CONCATENATE(AB27," - ",AC27,": ",AD27))</f>
        <v>Public Services - Space heating: Solids</v>
      </c>
      <c r="V27" s="9" t="str">
        <f t="shared" ref="V27:V34" si="30">IF($AE27="","","PJ")</f>
        <v>PJ</v>
      </c>
      <c r="W27" s="9" t="str">
        <f t="shared" ref="W27:W34" si="31">IF($AE27="","","GW")</f>
        <v>GW</v>
      </c>
      <c r="X27" s="9" t="str">
        <f t="shared" ref="X27:X34" si="32">IF($AE27="","","ANNUAL")</f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10"/>
        <v>2.0930852030075185E-4</v>
      </c>
      <c r="AJ27" s="16">
        <f t="shared" si="11"/>
        <v>6.9071811699248116E-5</v>
      </c>
    </row>
    <row r="28" spans="1:36">
      <c r="B28" s="27" t="str">
        <f t="shared" si="25"/>
        <v>IE,National</v>
      </c>
      <c r="C28" s="27" t="str">
        <f t="shared" si="25"/>
        <v>S-SH-PU_LPG_X0</v>
      </c>
      <c r="D28" s="9" t="str">
        <f t="shared" si="26"/>
        <v>Public Services - Space heating: LPG</v>
      </c>
      <c r="E28" s="43" t="str">
        <f t="shared" si="27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7">
        <f>IF($AE28="","",SUMIFS('Key Inputs'!$G$29:$G$114,'Key Inputs'!$A$29:$A$114,$AB28,'Key Inputs'!$B$29:$B$114,$AC28,'Key Inputs'!$C$29:$C$114,$AD28))</f>
        <v>0.33</v>
      </c>
      <c r="J28" s="257">
        <f>IF($AE28="","",SUMIFS('Key Inputs'!$I$29:$I$114,'Key Inputs'!$A$29:$A$114,$AB28,'Key Inputs'!$B$29:$B$114,$AC28,'Key Inputs'!$C$29:$C$114,$AD28)/8760)</f>
        <v>0.11415525114155251</v>
      </c>
      <c r="K28" s="259">
        <f>IF($AE28="","",SUMIFS('Key Inputs'!$H$29:$H$114,'Key Inputs'!$A$29:$A$114,$AB28,'Key Inputs'!$B$29:$B$114,$AC28,'Key Inputs'!$C$29:$C$114,$AD28))</f>
        <v>20</v>
      </c>
      <c r="L28" s="51">
        <f t="shared" si="28"/>
        <v>31.536000000000001</v>
      </c>
      <c r="M28" s="51"/>
      <c r="R28" s="27" t="str">
        <f t="shared" si="12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29"/>
        <v>Public Services - Space heating: LPG</v>
      </c>
      <c r="V28" s="9" t="str">
        <f t="shared" si="30"/>
        <v>PJ</v>
      </c>
      <c r="W28" s="9" t="str">
        <f t="shared" si="31"/>
        <v>GW</v>
      </c>
      <c r="X28" s="9" t="str">
        <f t="shared" si="32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10"/>
        <v>0</v>
      </c>
      <c r="AJ28" s="16">
        <f t="shared" si="11"/>
        <v>0</v>
      </c>
    </row>
    <row r="29" spans="1:36">
      <c r="B29" s="27" t="str">
        <f t="shared" si="25"/>
        <v>IE,National</v>
      </c>
      <c r="C29" s="27" t="str">
        <f t="shared" si="25"/>
        <v>S-SH-PU_OIL_X0</v>
      </c>
      <c r="D29" s="9" t="str">
        <f t="shared" si="26"/>
        <v>Public Services - Space heating: Oil</v>
      </c>
      <c r="E29" s="43" t="str">
        <f t="shared" si="27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0.60401863725544502</v>
      </c>
      <c r="I29" s="257">
        <f>IF($AE29="","",SUMIFS('Key Inputs'!$G$29:$G$114,'Key Inputs'!$A$29:$A$114,$AB29,'Key Inputs'!$B$29:$B$114,$AC29,'Key Inputs'!$C$29:$C$114,$AD29))</f>
        <v>0.6583558448972523</v>
      </c>
      <c r="J29" s="257">
        <f>IF($AE29="","",SUMIFS('Key Inputs'!$I$29:$I$114,'Key Inputs'!$A$29:$A$114,$AB29,'Key Inputs'!$B$29:$B$114,$AC29,'Key Inputs'!$C$29:$C$114,$AD29)/8760)</f>
        <v>0.11415525114155251</v>
      </c>
      <c r="K29" s="259">
        <f>IF($AE29="","",SUMIFS('Key Inputs'!$H$29:$H$114,'Key Inputs'!$A$29:$A$114,$AB29,'Key Inputs'!$B$29:$B$114,$AC29,'Key Inputs'!$C$29:$C$114,$AD29))</f>
        <v>20</v>
      </c>
      <c r="L29" s="51">
        <f t="shared" si="28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29"/>
        <v>Public Services - Space heating: Oil</v>
      </c>
      <c r="V29" s="9" t="str">
        <f t="shared" si="30"/>
        <v>PJ</v>
      </c>
      <c r="W29" s="9" t="str">
        <f t="shared" si="31"/>
        <v>GW</v>
      </c>
      <c r="X29" s="9" t="str">
        <f t="shared" si="32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10"/>
        <v>3.3028750499799462</v>
      </c>
      <c r="AJ29" s="16">
        <f t="shared" si="11"/>
        <v>2.1744670941196018</v>
      </c>
    </row>
    <row r="30" spans="1:36">
      <c r="B30" s="27" t="str">
        <f t="shared" si="25"/>
        <v>IE,National</v>
      </c>
      <c r="C30" s="27" t="str">
        <f t="shared" si="25"/>
        <v>S-SH-PU_GAS_X0</v>
      </c>
      <c r="D30" s="9" t="str">
        <f t="shared" si="26"/>
        <v>Public Services - Space heating: Natural Gas</v>
      </c>
      <c r="E30" s="43" t="str">
        <f t="shared" si="27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0.67915840926067761</v>
      </c>
      <c r="I30" s="257">
        <f>IF($AE30="","",SUMIFS('Key Inputs'!$G$29:$G$114,'Key Inputs'!$A$29:$A$114,$AB30,'Key Inputs'!$B$29:$B$114,$AC30,'Key Inputs'!$C$29:$C$114,$AD30))</f>
        <v>0.77299617086321282</v>
      </c>
      <c r="J30" s="257">
        <f>IF($AE30="","",SUMIFS('Key Inputs'!$I$29:$I$114,'Key Inputs'!$A$29:$A$114,$AB30,'Key Inputs'!$B$29:$B$114,$AC30,'Key Inputs'!$C$29:$C$114,$AD30)/8760)</f>
        <v>0.11415525114155251</v>
      </c>
      <c r="K30" s="259">
        <f>IF($AE30="","",SUMIFS('Key Inputs'!$H$29:$H$114,'Key Inputs'!$A$29:$A$114,$AB30,'Key Inputs'!$B$29:$B$114,$AC30,'Key Inputs'!$C$29:$C$114,$AD30))</f>
        <v>20</v>
      </c>
      <c r="L30" s="51">
        <f t="shared" si="28"/>
        <v>31.536000000000001</v>
      </c>
      <c r="M30" s="51"/>
      <c r="N30" s="258">
        <f>EB_SRV!G69/'Key Inputs'!F52</f>
        <v>6.3766257461182335E-2</v>
      </c>
      <c r="O30" s="258">
        <f>N30</f>
        <v>6.3766257461182335E-2</v>
      </c>
      <c r="P30" s="58">
        <v>5</v>
      </c>
      <c r="R30" s="27" t="str">
        <f t="shared" ref="R30:R44" si="33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29"/>
        <v>Public Services - Space heating: Natural Gas</v>
      </c>
      <c r="V30" s="9" t="str">
        <f t="shared" si="30"/>
        <v>PJ</v>
      </c>
      <c r="W30" s="9" t="str">
        <f t="shared" si="31"/>
        <v>GW</v>
      </c>
      <c r="X30" s="9" t="str">
        <f t="shared" si="32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10"/>
        <v>3.1629785055831725</v>
      </c>
      <c r="AJ30" s="16">
        <f t="shared" si="11"/>
        <v>2.4449702733384395</v>
      </c>
    </row>
    <row r="31" spans="1:36">
      <c r="B31" s="27" t="str">
        <f t="shared" si="25"/>
        <v>IE,National</v>
      </c>
      <c r="C31" s="27" t="str">
        <f t="shared" si="25"/>
        <v>S-SH-PU_BIO_X0</v>
      </c>
      <c r="D31" s="9" t="str">
        <f t="shared" si="26"/>
        <v>Public Services - Space heating: Biomass</v>
      </c>
      <c r="E31" s="43" t="str">
        <f t="shared" si="27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0.10405966328925007</v>
      </c>
      <c r="I31" s="257">
        <f>IF($AE31="","",SUMIFS('Key Inputs'!$G$29:$G$114,'Key Inputs'!$A$29:$A$114,$AB31,'Key Inputs'!$B$29:$B$114,$AC31,'Key Inputs'!$C$29:$C$114,$AD31))</f>
        <v>0.63490443337371294</v>
      </c>
      <c r="J31" s="257">
        <f>IF($AE31="","",SUMIFS('Key Inputs'!$I$29:$I$114,'Key Inputs'!$A$29:$A$114,$AB31,'Key Inputs'!$B$29:$B$114,$AC31,'Key Inputs'!$C$29:$C$114,$AD31)/8760)</f>
        <v>0.11415525114155251</v>
      </c>
      <c r="K31" s="259">
        <f>IF($AE31="","",SUMIFS('Key Inputs'!$H$29:$H$114,'Key Inputs'!$A$29:$A$114,$AB31,'Key Inputs'!$B$29:$B$114,$AC31,'Key Inputs'!$C$29:$C$114,$AD31))</f>
        <v>20</v>
      </c>
      <c r="L31" s="51">
        <f t="shared" si="28"/>
        <v>31.536000000000001</v>
      </c>
      <c r="M31" s="51"/>
      <c r="R31" s="27" t="str">
        <f t="shared" si="33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29"/>
        <v>Public Services - Space heating: Biomass</v>
      </c>
      <c r="V31" s="9" t="str">
        <f t="shared" si="30"/>
        <v>PJ</v>
      </c>
      <c r="W31" s="9" t="str">
        <f t="shared" si="31"/>
        <v>GW</v>
      </c>
      <c r="X31" s="9" t="str">
        <f t="shared" si="32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10"/>
        <v>0.59003334698845478</v>
      </c>
      <c r="AJ31" s="16">
        <f t="shared" si="11"/>
        <v>0.3746147878413002</v>
      </c>
    </row>
    <row r="32" spans="1:36">
      <c r="B32" s="27" t="str">
        <f t="shared" si="25"/>
        <v>IE,National</v>
      </c>
      <c r="C32" s="27" t="str">
        <f t="shared" si="25"/>
        <v>S-SH-PU_SOL_X0</v>
      </c>
      <c r="D32" s="9" t="str">
        <f t="shared" si="26"/>
        <v>Public Services - Space heating: Solar</v>
      </c>
      <c r="E32" s="43" t="str">
        <f t="shared" si="27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7">
        <f>IF($AE32="","",SUMIFS('Key Inputs'!$G$29:$G$114,'Key Inputs'!$A$29:$A$114,$AB32,'Key Inputs'!$B$29:$B$114,$AC32,'Key Inputs'!$C$29:$C$114,$AD32))</f>
        <v>0.33</v>
      </c>
      <c r="J32" s="257">
        <f>IF($AE32="","",SUMIFS('Key Inputs'!$I$29:$I$114,'Key Inputs'!$A$29:$A$114,$AB32,'Key Inputs'!$B$29:$B$114,$AC32,'Key Inputs'!$C$29:$C$114,$AD32)/8760)</f>
        <v>0.11415525114155251</v>
      </c>
      <c r="K32" s="259">
        <f>IF($AE32="","",SUMIFS('Key Inputs'!$H$29:$H$114,'Key Inputs'!$A$29:$A$114,$AB32,'Key Inputs'!$B$29:$B$114,$AC32,'Key Inputs'!$C$29:$C$114,$AD32))</f>
        <v>15</v>
      </c>
      <c r="L32" s="51">
        <f t="shared" si="28"/>
        <v>31.536000000000001</v>
      </c>
      <c r="M32" s="51"/>
      <c r="R32" s="27" t="str">
        <f t="shared" si="33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29"/>
        <v>Public Services - Space heating: Solar</v>
      </c>
      <c r="V32" s="9" t="str">
        <f t="shared" si="30"/>
        <v>PJ</v>
      </c>
      <c r="W32" s="9" t="str">
        <f t="shared" si="31"/>
        <v>GW</v>
      </c>
      <c r="X32" s="9" t="str">
        <f t="shared" si="32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10"/>
        <v>0</v>
      </c>
      <c r="AJ32" s="16">
        <f t="shared" si="11"/>
        <v>0</v>
      </c>
    </row>
    <row r="33" spans="1:36">
      <c r="B33" s="27" t="str">
        <f t="shared" si="25"/>
        <v>IE,National</v>
      </c>
      <c r="C33" s="27" t="str">
        <f t="shared" si="25"/>
        <v>S-SH-PU_ELC-HP_X0</v>
      </c>
      <c r="D33" s="9" t="str">
        <f t="shared" si="26"/>
        <v>Public Services - Space heating: Electricity (heat pumps)</v>
      </c>
      <c r="E33" s="43" t="str">
        <f t="shared" si="27"/>
        <v>SRVELC</v>
      </c>
      <c r="F33" s="43" t="str">
        <f>Legend!$C$44</f>
        <v>SRVAHT</v>
      </c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0.14428590527210028</v>
      </c>
      <c r="I33" s="257">
        <f>IF($AE33="","",SUMIFS('Key Inputs'!$G$29:$G$114,'Key Inputs'!$A$29:$A$114,$AB33,'Key Inputs'!$B$29:$B$114,$AC33,'Key Inputs'!$C$29:$C$114,$AD33))</f>
        <v>2.7470543738547222</v>
      </c>
      <c r="J33" s="257">
        <f>IF($AE33="","",SUMIFS('Key Inputs'!$I$29:$I$114,'Key Inputs'!$A$29:$A$114,$AB33,'Key Inputs'!$B$29:$B$114,$AC33,'Key Inputs'!$C$29:$C$114,$AD33)/8760)</f>
        <v>0.11415525114155251</v>
      </c>
      <c r="K33" s="259">
        <f>IF($AE33="","",SUMIFS('Key Inputs'!$H$29:$H$114,'Key Inputs'!$A$29:$A$114,$AB33,'Key Inputs'!$B$29:$B$114,$AC33,'Key Inputs'!$C$29:$C$114,$AD33))</f>
        <v>10</v>
      </c>
      <c r="L33" s="51">
        <f t="shared" si="28"/>
        <v>31.536000000000001</v>
      </c>
      <c r="M33" s="51" t="str">
        <f>IF('Key Inputs'!L55/'Key Inputs'!F55=0,"",'Key Inputs'!L55/'Key Inputs'!F55)</f>
        <v/>
      </c>
      <c r="R33" s="27" t="str">
        <f t="shared" si="33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29"/>
        <v>Public Services - Space heating: Electricity (heat pumps)</v>
      </c>
      <c r="V33" s="9" t="str">
        <f t="shared" si="30"/>
        <v>PJ</v>
      </c>
      <c r="W33" s="9" t="str">
        <f t="shared" si="31"/>
        <v>GW</v>
      </c>
      <c r="X33" s="9" t="str">
        <f t="shared" si="32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10"/>
        <v>0.18908590376778289</v>
      </c>
      <c r="AJ33" s="16">
        <f t="shared" si="11"/>
        <v>0.51942925897956105</v>
      </c>
    </row>
    <row r="34" spans="1:36">
      <c r="B34" s="27" t="str">
        <f t="shared" si="25"/>
        <v>IE,National</v>
      </c>
      <c r="C34" s="27" t="str">
        <f t="shared" si="25"/>
        <v>S-SH-PU_ELC_X0</v>
      </c>
      <c r="D34" s="9" t="str">
        <f t="shared" si="26"/>
        <v>Public Services - Space heating: Electricity (heaters)</v>
      </c>
      <c r="E34" s="43" t="str">
        <f t="shared" si="27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0.18525236607968115</v>
      </c>
      <c r="I34" s="257">
        <f>IF($AE34="","",SUMIFS('Key Inputs'!$G$29:$G$114,'Key Inputs'!$A$29:$A$114,$AB34,'Key Inputs'!$B$29:$B$114,$AC34,'Key Inputs'!$C$29:$C$114,$AD34))</f>
        <v>0.81595511259153475</v>
      </c>
      <c r="J34" s="257">
        <f>IF($AE34="","",SUMIFS('Key Inputs'!$I$29:$I$114,'Key Inputs'!$A$29:$A$114,$AB34,'Key Inputs'!$B$29:$B$114,$AC34,'Key Inputs'!$C$29:$C$114,$AD34)/8760)</f>
        <v>0.11415525114155251</v>
      </c>
      <c r="K34" s="259">
        <f>IF($AE34="","",SUMIFS('Key Inputs'!$H$29:$H$114,'Key Inputs'!$A$29:$A$114,$AB34,'Key Inputs'!$B$29:$B$114,$AC34,'Key Inputs'!$C$29:$C$114,$AD34))</f>
        <v>10</v>
      </c>
      <c r="L34" s="51">
        <f t="shared" si="28"/>
        <v>31.536000000000001</v>
      </c>
      <c r="M34" s="51"/>
      <c r="R34" s="27" t="str">
        <f t="shared" si="33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29"/>
        <v>Public Services - Space heating: Electricity (heaters)</v>
      </c>
      <c r="V34" s="9" t="str">
        <f t="shared" si="30"/>
        <v>PJ</v>
      </c>
      <c r="W34" s="9" t="str">
        <f t="shared" si="31"/>
        <v>GW</v>
      </c>
      <c r="X34" s="9" t="str">
        <f t="shared" si="32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10"/>
        <v>0.81733481118673379</v>
      </c>
      <c r="AJ34" s="16">
        <f t="shared" si="11"/>
        <v>0.66690851788685213</v>
      </c>
    </row>
    <row r="35" spans="1:36" s="6" customFormat="1">
      <c r="A35" s="15"/>
      <c r="B35" s="15" t="str">
        <f t="shared" si="0"/>
        <v>*Public Services Water heating</v>
      </c>
      <c r="C35" s="15"/>
      <c r="D35" s="15"/>
      <c r="E35" s="266"/>
      <c r="F35" s="266"/>
      <c r="G35" s="15"/>
      <c r="H35" s="266"/>
      <c r="I35" s="267"/>
      <c r="J35" s="267"/>
      <c r="K35" s="268"/>
      <c r="L35" s="76"/>
      <c r="M35" s="76"/>
      <c r="N35" s="269"/>
      <c r="O35" s="269"/>
      <c r="P35" s="269"/>
      <c r="Q35" s="269"/>
      <c r="R35" s="15" t="str">
        <f t="shared" si="33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9"/>
      <c r="AI35" s="16"/>
      <c r="AJ35" s="16"/>
    </row>
    <row r="36" spans="1:36">
      <c r="B36" s="27" t="str">
        <f t="shared" ref="B36:C42" si="34">IF($AE36="",Q36,S36)</f>
        <v>IE,National</v>
      </c>
      <c r="C36" s="27" t="str">
        <f t="shared" si="34"/>
        <v>S-WH-PU_COA_X0</v>
      </c>
      <c r="D36" s="9" t="str">
        <f t="shared" ref="D36:D42" si="35">IF($AE36="","",U36)</f>
        <v>Public Services - Water heating: Solids</v>
      </c>
      <c r="E36" s="43" t="str">
        <f t="shared" ref="E36:E42" si="36">IF($AE36="","",AF36)</f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7">
        <f>IF($AE36="","",SUMIFS('Key Inputs'!$G$29:$G$114,'Key Inputs'!$A$29:$A$114,$AB36,'Key Inputs'!$B$29:$B$114,$AC36,'Key Inputs'!$C$29:$C$114,$AD36))</f>
        <v>0.33</v>
      </c>
      <c r="J36" s="257">
        <f>IF($AE36="","",SUMIFS('Key Inputs'!$I$29:$I$114,'Key Inputs'!$A$29:$A$114,$AB36,'Key Inputs'!$B$29:$B$114,$AC36,'Key Inputs'!$C$29:$C$114,$AD36)/8760)</f>
        <v>2.2831050228310501E-2</v>
      </c>
      <c r="K36" s="259">
        <f>IF($AE36="","",SUMIFS('Key Inputs'!$H$29:$H$114,'Key Inputs'!$A$29:$A$114,$AB36,'Key Inputs'!$B$29:$B$114,$AC36,'Key Inputs'!$C$29:$C$114,$AD36))</f>
        <v>20</v>
      </c>
      <c r="L36" s="51">
        <f t="shared" ref="L36:L42" si="37">IF($AE36="","",31.536)</f>
        <v>31.536000000000001</v>
      </c>
      <c r="M36" s="51"/>
      <c r="R36" s="27" t="str">
        <f t="shared" si="33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ref="U36:U42" si="38">IF($AE36="","",CONCATENATE(AB36," - ",AC36,": ",AD36))</f>
        <v>Public Services - Water heating: Solids</v>
      </c>
      <c r="V36" s="9" t="str">
        <f t="shared" ref="V36:V42" si="39">IF($AE36="","","PJ")</f>
        <v>PJ</v>
      </c>
      <c r="W36" s="9" t="str">
        <f t="shared" ref="W36:W42" si="40">IF($AE36="","","GW")</f>
        <v>GW</v>
      </c>
      <c r="X36" s="9" t="str">
        <f t="shared" ref="X36:X42" si="41">IF($AE36="","","ANNUAL")</f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10"/>
        <v>0</v>
      </c>
      <c r="AJ36" s="16">
        <f t="shared" si="11"/>
        <v>0</v>
      </c>
    </row>
    <row r="37" spans="1:36">
      <c r="B37" s="27" t="str">
        <f t="shared" si="34"/>
        <v>IE,National</v>
      </c>
      <c r="C37" s="27" t="str">
        <f t="shared" si="34"/>
        <v>S-WH-PU_LPG_X0</v>
      </c>
      <c r="D37" s="9" t="str">
        <f t="shared" si="35"/>
        <v>Public Services - Water heating: LPG</v>
      </c>
      <c r="E37" s="43" t="str">
        <f t="shared" si="36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7">
        <f>IF($AE37="","",SUMIFS('Key Inputs'!$G$29:$G$114,'Key Inputs'!$A$29:$A$114,$AB37,'Key Inputs'!$B$29:$B$114,$AC37,'Key Inputs'!$C$29:$C$114,$AD37))</f>
        <v>0.33</v>
      </c>
      <c r="J37" s="257">
        <f>IF($AE37="","",SUMIFS('Key Inputs'!$I$29:$I$114,'Key Inputs'!$A$29:$A$114,$AB37,'Key Inputs'!$B$29:$B$114,$AC37,'Key Inputs'!$C$29:$C$114,$AD37)/8760)</f>
        <v>2.2831050228310501E-2</v>
      </c>
      <c r="K37" s="259">
        <f>IF($AE37="","",SUMIFS('Key Inputs'!$H$29:$H$114,'Key Inputs'!$A$29:$A$114,$AB37,'Key Inputs'!$B$29:$B$114,$AC37,'Key Inputs'!$C$29:$C$114,$AD37))</f>
        <v>20</v>
      </c>
      <c r="L37" s="51">
        <f t="shared" si="37"/>
        <v>31.536000000000001</v>
      </c>
      <c r="M37" s="51"/>
      <c r="R37" s="27" t="str">
        <f t="shared" si="33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38"/>
        <v>Public Services - Water heating: LPG</v>
      </c>
      <c r="V37" s="9" t="str">
        <f t="shared" si="39"/>
        <v>PJ</v>
      </c>
      <c r="W37" s="9" t="str">
        <f t="shared" si="40"/>
        <v>GW</v>
      </c>
      <c r="X37" s="9" t="str">
        <f t="shared" si="41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10"/>
        <v>0</v>
      </c>
      <c r="AJ37" s="16">
        <f t="shared" si="11"/>
        <v>0</v>
      </c>
    </row>
    <row r="38" spans="1:36">
      <c r="B38" s="27" t="str">
        <f t="shared" si="34"/>
        <v>IE,National</v>
      </c>
      <c r="C38" s="27" t="str">
        <f t="shared" si="34"/>
        <v>S-WH-PU_OIL_X0</v>
      </c>
      <c r="D38" s="9" t="str">
        <f t="shared" si="35"/>
        <v>Public Services - Water heating: Oil</v>
      </c>
      <c r="E38" s="43" t="str">
        <f t="shared" si="36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0.81299845724172348</v>
      </c>
      <c r="I38" s="257">
        <f>IF($AE38="","",SUMIFS('Key Inputs'!$G$29:$G$114,'Key Inputs'!$A$29:$A$114,$AB38,'Key Inputs'!$B$29:$B$114,$AC38,'Key Inputs'!$C$29:$C$114,$AD38))</f>
        <v>0.59834963673469854</v>
      </c>
      <c r="J38" s="257">
        <f>IF($AE38="","",SUMIFS('Key Inputs'!$I$29:$I$114,'Key Inputs'!$A$29:$A$114,$AB38,'Key Inputs'!$B$29:$B$114,$AC38,'Key Inputs'!$C$29:$C$114,$AD38)/8760)</f>
        <v>2.2831050228310501E-2</v>
      </c>
      <c r="K38" s="259">
        <f>IF($AE38="","",SUMIFS('Key Inputs'!$H$29:$H$114,'Key Inputs'!$A$29:$A$114,$AB38,'Key Inputs'!$B$29:$B$114,$AC38,'Key Inputs'!$C$29:$C$114,$AD38))</f>
        <v>20</v>
      </c>
      <c r="L38" s="51">
        <f t="shared" si="37"/>
        <v>31.536000000000001</v>
      </c>
      <c r="M38" s="51"/>
      <c r="R38" s="27" t="str">
        <f t="shared" si="33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38"/>
        <v>Public Services - Water heating: Oil</v>
      </c>
      <c r="V38" s="9" t="str">
        <f t="shared" si="39"/>
        <v>PJ</v>
      </c>
      <c r="W38" s="9" t="str">
        <f t="shared" si="40"/>
        <v>GW</v>
      </c>
      <c r="X38" s="9" t="str">
        <f t="shared" si="41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10"/>
        <v>0.9782890358360532</v>
      </c>
      <c r="AJ38" s="16">
        <f t="shared" si="11"/>
        <v>0.58535888921404089</v>
      </c>
    </row>
    <row r="39" spans="1:36">
      <c r="B39" s="27" t="str">
        <f t="shared" si="34"/>
        <v>IE,National</v>
      </c>
      <c r="C39" s="27" t="str">
        <f t="shared" si="34"/>
        <v>S-WH-PU_GAS_X0</v>
      </c>
      <c r="D39" s="9" t="str">
        <f t="shared" si="35"/>
        <v>Public Services - Water heating: Natural Gas</v>
      </c>
      <c r="E39" s="43" t="str">
        <f t="shared" si="36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0.76857218476409639</v>
      </c>
      <c r="I39" s="257">
        <f>IF($AE39="","",SUMIFS('Key Inputs'!$G$29:$G$114,'Key Inputs'!$A$29:$A$114,$AB39,'Key Inputs'!$B$29:$B$114,$AC39,'Key Inputs'!$C$29:$C$114,$AD39))</f>
        <v>0.63024757853709534</v>
      </c>
      <c r="J39" s="257">
        <f>IF($AE39="","",SUMIFS('Key Inputs'!$I$29:$I$114,'Key Inputs'!$A$29:$A$114,$AB39,'Key Inputs'!$B$29:$B$114,$AC39,'Key Inputs'!$C$29:$C$114,$AD39)/8760)</f>
        <v>2.2831050228310501E-2</v>
      </c>
      <c r="K39" s="259">
        <f>IF($AE39="","",SUMIFS('Key Inputs'!$H$29:$H$114,'Key Inputs'!$A$29:$A$114,$AB39,'Key Inputs'!$B$29:$B$114,$AC39,'Key Inputs'!$C$29:$C$114,$AD39))</f>
        <v>20</v>
      </c>
      <c r="L39" s="51">
        <f t="shared" si="37"/>
        <v>31.536000000000001</v>
      </c>
      <c r="M39" s="51"/>
      <c r="N39" s="258">
        <f>EB_SRV!G80/'Key Inputs'!F61</f>
        <v>0</v>
      </c>
      <c r="O39" s="258">
        <f>N39</f>
        <v>0</v>
      </c>
      <c r="P39" s="58">
        <v>5</v>
      </c>
      <c r="R39" s="27" t="str">
        <f t="shared" si="33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38"/>
        <v>Public Services - Water heating: Natural Gas</v>
      </c>
      <c r="V39" s="9" t="str">
        <f t="shared" si="39"/>
        <v>PJ</v>
      </c>
      <c r="W39" s="9" t="str">
        <f t="shared" si="40"/>
        <v>GW</v>
      </c>
      <c r="X39" s="9" t="str">
        <f t="shared" si="41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10"/>
        <v>0.87802316403121072</v>
      </c>
      <c r="AJ39" s="16">
        <f t="shared" si="11"/>
        <v>0.5533719730301494</v>
      </c>
    </row>
    <row r="40" spans="1:36">
      <c r="B40" s="27" t="str">
        <f t="shared" si="34"/>
        <v>IE,National</v>
      </c>
      <c r="C40" s="27" t="str">
        <f t="shared" si="34"/>
        <v>S-WH-PU_BIO_X0</v>
      </c>
      <c r="D40" s="9" t="str">
        <f t="shared" si="35"/>
        <v>Public Services - Water heating: Biomass</v>
      </c>
      <c r="E40" s="43" t="str">
        <f t="shared" si="36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7">
        <f>IF($AE40="","",SUMIFS('Key Inputs'!$G$29:$G$114,'Key Inputs'!$A$29:$A$114,$AB40,'Key Inputs'!$B$29:$B$114,$AC40,'Key Inputs'!$C$29:$C$114,$AD40))</f>
        <v>0.33</v>
      </c>
      <c r="J40" s="257">
        <f>IF($AE40="","",SUMIFS('Key Inputs'!$I$29:$I$114,'Key Inputs'!$A$29:$A$114,$AB40,'Key Inputs'!$B$29:$B$114,$AC40,'Key Inputs'!$C$29:$C$114,$AD40)/8760)</f>
        <v>2.2831050228310501E-2</v>
      </c>
      <c r="K40" s="259">
        <f>IF($AE40="","",SUMIFS('Key Inputs'!$H$29:$H$114,'Key Inputs'!$A$29:$A$114,$AB40,'Key Inputs'!$B$29:$B$114,$AC40,'Key Inputs'!$C$29:$C$114,$AD40))</f>
        <v>20</v>
      </c>
      <c r="L40" s="51">
        <f t="shared" si="37"/>
        <v>31.536000000000001</v>
      </c>
      <c r="M40" s="51"/>
      <c r="R40" s="27" t="str">
        <f t="shared" si="33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38"/>
        <v>Public Services - Water heating: Biomass</v>
      </c>
      <c r="V40" s="9" t="str">
        <f t="shared" si="39"/>
        <v>PJ</v>
      </c>
      <c r="W40" s="9" t="str">
        <f t="shared" si="40"/>
        <v>GW</v>
      </c>
      <c r="X40" s="9" t="str">
        <f t="shared" si="41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10"/>
        <v>0</v>
      </c>
      <c r="AJ40" s="16">
        <f t="shared" si="11"/>
        <v>0</v>
      </c>
    </row>
    <row r="41" spans="1:36">
      <c r="B41" s="27" t="str">
        <f t="shared" si="34"/>
        <v>IE,National</v>
      </c>
      <c r="C41" s="27" t="str">
        <f t="shared" si="34"/>
        <v>S-WH-PU_ELC_X0</v>
      </c>
      <c r="D41" s="9" t="str">
        <f t="shared" si="35"/>
        <v>Public Services - Water heating: Electricity</v>
      </c>
      <c r="E41" s="43" t="str">
        <f t="shared" si="36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0.50178712030242822</v>
      </c>
      <c r="I41" s="257">
        <f>IF($AE41="","",SUMIFS('Key Inputs'!$G$29:$G$114,'Key Inputs'!$A$29:$A$114,$AB41,'Key Inputs'!$B$29:$B$114,$AC41,'Key Inputs'!$C$29:$C$114,$AD41))</f>
        <v>0.7791533881609447</v>
      </c>
      <c r="J41" s="257">
        <f>IF($AE41="","",SUMIFS('Key Inputs'!$I$29:$I$114,'Key Inputs'!$A$29:$A$114,$AB41,'Key Inputs'!$B$29:$B$114,$AC41,'Key Inputs'!$C$29:$C$114,$AD41)/8760)</f>
        <v>2.2831050228310501E-2</v>
      </c>
      <c r="K41" s="259">
        <f>IF($AE41="","",SUMIFS('Key Inputs'!$H$29:$H$114,'Key Inputs'!$A$29:$A$114,$AB41,'Key Inputs'!$B$29:$B$114,$AC41,'Key Inputs'!$C$29:$C$114,$AD41))</f>
        <v>10</v>
      </c>
      <c r="L41" s="51">
        <f t="shared" si="37"/>
        <v>31.536000000000001</v>
      </c>
      <c r="M41" s="51"/>
      <c r="R41" s="27" t="str">
        <f t="shared" si="33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38"/>
        <v>Public Services - Water heating: Electricity</v>
      </c>
      <c r="V41" s="9" t="str">
        <f t="shared" si="39"/>
        <v>PJ</v>
      </c>
      <c r="W41" s="9" t="str">
        <f t="shared" si="40"/>
        <v>GW</v>
      </c>
      <c r="X41" s="9" t="str">
        <f t="shared" si="41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10"/>
        <v>0.46369140160001421</v>
      </c>
      <c r="AJ41" s="16">
        <f t="shared" si="11"/>
        <v>0.36128672661774835</v>
      </c>
    </row>
    <row r="42" spans="1:36">
      <c r="B42" s="27" t="str">
        <f t="shared" si="34"/>
        <v>IE,National</v>
      </c>
      <c r="C42" s="27" t="str">
        <f t="shared" si="34"/>
        <v>S-WH-PU_SOL_X0</v>
      </c>
      <c r="D42" s="9" t="str">
        <f t="shared" si="35"/>
        <v>Public Services - Water heating: Solar</v>
      </c>
      <c r="E42" s="43" t="str">
        <f t="shared" si="36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7">
        <f>IF($AE42="","",SUMIFS('Key Inputs'!$G$29:$G$114,'Key Inputs'!$A$29:$A$114,$AB42,'Key Inputs'!$B$29:$B$114,$AC42,'Key Inputs'!$C$29:$C$114,$AD42))</f>
        <v>0.99999999999999989</v>
      </c>
      <c r="J42" s="257">
        <f>IF($AE42="","",SUMIFS('Key Inputs'!$I$29:$I$114,'Key Inputs'!$A$29:$A$114,$AB42,'Key Inputs'!$B$29:$B$114,$AC42,'Key Inputs'!$C$29:$C$114,$AD42)/8760)</f>
        <v>2.2831050228310501E-2</v>
      </c>
      <c r="K42" s="259">
        <f>IF($AE42="","",SUMIFS('Key Inputs'!$H$29:$H$114,'Key Inputs'!$A$29:$A$114,$AB42,'Key Inputs'!$B$29:$B$114,$AC42,'Key Inputs'!$C$29:$C$114,$AD42))</f>
        <v>15</v>
      </c>
      <c r="L42" s="51">
        <f t="shared" si="37"/>
        <v>31.536000000000001</v>
      </c>
      <c r="M42" s="51"/>
      <c r="R42" s="27" t="str">
        <f t="shared" si="33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38"/>
        <v>Public Services - Water heating: Solar</v>
      </c>
      <c r="V42" s="9" t="str">
        <f t="shared" si="39"/>
        <v>PJ</v>
      </c>
      <c r="W42" s="9" t="str">
        <f t="shared" si="40"/>
        <v>GW</v>
      </c>
      <c r="X42" s="9" t="str">
        <f t="shared" si="41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10"/>
        <v>0</v>
      </c>
      <c r="AJ42" s="16">
        <f t="shared" si="11"/>
        <v>0</v>
      </c>
    </row>
    <row r="43" spans="1:36" s="6" customFormat="1">
      <c r="A43" s="15"/>
      <c r="B43" s="15" t="str">
        <f t="shared" si="0"/>
        <v>*Public Services Space cooling</v>
      </c>
      <c r="C43" s="15"/>
      <c r="D43" s="15"/>
      <c r="E43" s="266"/>
      <c r="F43" s="266"/>
      <c r="G43" s="15"/>
      <c r="H43" s="266"/>
      <c r="I43" s="267"/>
      <c r="J43" s="267"/>
      <c r="K43" s="268"/>
      <c r="L43" s="76"/>
      <c r="M43" s="76"/>
      <c r="N43" s="269"/>
      <c r="O43" s="269"/>
      <c r="P43" s="269"/>
      <c r="Q43" s="269"/>
      <c r="R43" s="15" t="str">
        <f t="shared" si="33"/>
        <v>*Public Services Space cooling</v>
      </c>
      <c r="S43" s="36"/>
      <c r="T43" s="15"/>
      <c r="U43" s="15"/>
      <c r="V43" s="15"/>
      <c r="W43" s="15"/>
      <c r="X43" s="15"/>
      <c r="AA43" s="269"/>
      <c r="AI43" s="16"/>
      <c r="AJ43" s="166"/>
    </row>
    <row r="44" spans="1:36">
      <c r="B44" s="27" t="str">
        <f t="shared" ref="B44" si="42">IF($AE44="",Q44,S44)</f>
        <v>IE,National</v>
      </c>
      <c r="C44" s="27" t="str">
        <f t="shared" ref="C44" si="43">IF($AE44="",R44,T44)</f>
        <v>S-SC-PU_GAS_X0</v>
      </c>
      <c r="D44" s="9" t="str">
        <f>IF($AE44="","",U44)</f>
        <v>Public Services - Space cooling: Natural Gas</v>
      </c>
      <c r="E44" s="43" t="str">
        <f>IF($AE44="","",AF44)</f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7.331356831702108E-3</v>
      </c>
      <c r="I44" s="73">
        <f>IF($AE44="","",SUMIFS('Key Inputs'!$G$29:$G$114,'Key Inputs'!$A$29:$A$114,$AB44,'Key Inputs'!$B$29:$B$114,$AC44,'Key Inputs'!$C$29:$C$114,$AD44))</f>
        <v>2.7679848891515557</v>
      </c>
      <c r="J44" s="73">
        <f>IF($AE44="","",SUMIFS('Key Inputs'!$I$29:$I$114,'Key Inputs'!$A$29:$A$114,$AB44,'Key Inputs'!$B$29:$B$114,$AC44,'Key Inputs'!$C$29:$C$114,$AD44)/8760)</f>
        <v>3.4246575342465752E-2</v>
      </c>
      <c r="K44" s="263">
        <f>IF($AE44="","",SUMIFS('Key Inputs'!$H$29:$H$114,'Key Inputs'!$A$29:$A$114,$AB44,'Key Inputs'!$B$29:$B$114,$AC44,'Key Inputs'!$C$29:$C$114,$AD44))</f>
        <v>15</v>
      </c>
      <c r="L44" s="51">
        <f>IF($AE44="","",31.536)</f>
        <v>31.536000000000001</v>
      </c>
      <c r="M44" s="51"/>
      <c r="R44" s="27" t="str">
        <f t="shared" si="33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>IF($AE44="","",CONCATENATE(AB44," - ",AC44,": ",AD44))</f>
        <v>Public Services - Space cooling: Natural Gas</v>
      </c>
      <c r="V44" s="9" t="str">
        <f>IF($AE44="","","PJ")</f>
        <v>PJ</v>
      </c>
      <c r="W44" s="9" t="str">
        <f>IF($AE44="","","GW")</f>
        <v>GW</v>
      </c>
      <c r="X44" s="9" t="str">
        <f>IF($AE44="","","ANNUAL")</f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10"/>
        <v>2.8605161138236077E-3</v>
      </c>
      <c r="AJ44" s="16">
        <f t="shared" si="11"/>
        <v>7.9178653782382771E-3</v>
      </c>
    </row>
    <row r="45" spans="1:36">
      <c r="B45" s="34" t="str">
        <f t="shared" ref="B45" si="44">IF($AE45="",Q45,S45)</f>
        <v>IE,National</v>
      </c>
      <c r="C45" s="34" t="str">
        <f t="shared" ref="C45" si="45">IF($AE45="",R45,T45)</f>
        <v>S-SC-PU_ELC_X0</v>
      </c>
      <c r="D45" s="14" t="str">
        <f>IF($AE45="","",U45)</f>
        <v>Public Services - Space cooling: Electricity</v>
      </c>
      <c r="E45" s="78" t="str">
        <f>IF($AE45="","",AF45)</f>
        <v>SRVELC</v>
      </c>
      <c r="F45" s="78"/>
      <c r="G45" s="14" t="str">
        <f>IF($AE45="","",CONCATENATE(Legend!$C$4,AH45,"-",AG45))</f>
        <v>SRVSC-PU</v>
      </c>
      <c r="H45" s="78">
        <f>IF($AE45="","",SUMIFS('Key Inputs'!$K$29:$K$114,'Key Inputs'!$A$29:$A$114,$AB45,'Key Inputs'!$B$29:$B$114,$AC45,'Key Inputs'!$C$29:$C$114,$AD45))</f>
        <v>1.0344184288339289</v>
      </c>
      <c r="I45" s="264">
        <f>IF($AE45="","",SUMIFS('Key Inputs'!$G$29:$G$114,'Key Inputs'!$A$29:$A$114,$AB45,'Key Inputs'!$B$29:$B$114,$AC45,'Key Inputs'!$C$29:$C$114,$AD45))</f>
        <v>2.7466471585410193</v>
      </c>
      <c r="J45" s="264">
        <f>IF($AE45="","",SUMIFS('Key Inputs'!$I$29:$I$114,'Key Inputs'!$A$29:$A$114,$AB45,'Key Inputs'!$B$29:$B$114,$AC45,'Key Inputs'!$C$29:$C$114,$AD45)/8760)</f>
        <v>3.4246575342465752E-2</v>
      </c>
      <c r="K45" s="265">
        <f>IF($AE45="","",SUMIFS('Key Inputs'!$H$29:$H$114,'Key Inputs'!$A$29:$A$114,$AB45,'Key Inputs'!$B$29:$B$114,$AC45,'Key Inputs'!$C$29:$C$114,$AD45))</f>
        <v>15</v>
      </c>
      <c r="L45" s="154">
        <f>IF($AE45="","",31.536)</f>
        <v>31.536000000000001</v>
      </c>
      <c r="M45" s="154"/>
      <c r="N45" s="74"/>
      <c r="O45" s="74"/>
      <c r="P45" s="74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>IF($AE45="","",CONCATENATE(AB45," - ",AC45,": ",AD45))</f>
        <v>Public Services - Space cooling: Electricity</v>
      </c>
      <c r="V45" s="14" t="str">
        <f>IF($AE45="","","PJ")</f>
        <v>PJ</v>
      </c>
      <c r="W45" s="14" t="str">
        <f>IF($AE45="","","GW")</f>
        <v>GW</v>
      </c>
      <c r="X45" s="14" t="str">
        <f>IF($AE45="","","ANNUAL")</f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10"/>
        <v>0.40674023223793676</v>
      </c>
      <c r="AJ45" s="16">
        <f t="shared" si="11"/>
        <v>1.1171719031406433</v>
      </c>
    </row>
    <row r="46" spans="1:36">
      <c r="R46"/>
      <c r="S46"/>
      <c r="T46"/>
      <c r="U46"/>
    </row>
    <row r="47" spans="1:36">
      <c r="G47" s="15" t="s">
        <v>508</v>
      </c>
      <c r="H47" s="76">
        <f>SUM(H7:H45)</f>
        <v>14.239598754462298</v>
      </c>
      <c r="R47"/>
      <c r="S47"/>
      <c r="T47"/>
      <c r="U47"/>
      <c r="AI47" s="166">
        <f>SUM(AI7:AI45)</f>
        <v>26.421237673954675</v>
      </c>
      <c r="AJ47" s="166">
        <f>SUM(AJ7:AJ45)</f>
        <v>24.204314051486381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U24" sqref="U24"/>
    </sheetView>
  </sheetViews>
  <sheetFormatPr defaultColWidth="8.85546875" defaultRowHeight="15"/>
  <cols>
    <col min="1" max="1" width="2.28515625" style="9" customWidth="1"/>
    <col min="2" max="2" width="19.42578125" style="9" customWidth="1"/>
    <col min="3" max="3" width="44.42578125" style="9" bestFit="1" customWidth="1"/>
    <col min="4" max="5" width="15.7109375" style="9" bestFit="1" customWidth="1"/>
    <col min="6" max="6" width="11.42578125" style="9" bestFit="1" customWidth="1"/>
    <col min="7" max="7" width="9.140625" style="9" bestFit="1" customWidth="1"/>
    <col min="8" max="8" width="10.7109375" style="9" bestFit="1" customWidth="1"/>
    <col min="9" max="10" width="12.28515625" style="9" bestFit="1" customWidth="1"/>
    <col min="11" max="11" width="4.85546875" style="9" customWidth="1"/>
    <col min="12" max="12" width="12.7109375" style="9" customWidth="1"/>
    <col min="13" max="13" width="12.140625" style="9" bestFit="1" customWidth="1"/>
    <col min="14" max="14" width="16.5703125" style="9" bestFit="1" customWidth="1"/>
    <col min="15" max="15" width="44.42578125" style="9" bestFit="1" customWidth="1"/>
    <col min="16" max="16" width="7.42578125" style="9" bestFit="1" customWidth="1"/>
    <col min="17" max="17" width="9.7109375" style="9" customWidth="1"/>
    <col min="18" max="18" width="13.7109375" style="9" bestFit="1" customWidth="1"/>
    <col min="19" max="19" width="10.7109375" style="9" bestFit="1" customWidth="1"/>
    <col min="20" max="20" width="8.14062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502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376</v>
      </c>
      <c r="W3" s="605" t="s">
        <v>158</v>
      </c>
      <c r="X3" s="605" t="s">
        <v>81</v>
      </c>
      <c r="Y3" s="605" t="s">
        <v>496</v>
      </c>
      <c r="Z3" s="605" t="s">
        <v>497</v>
      </c>
      <c r="AA3" s="605" t="s">
        <v>498</v>
      </c>
      <c r="AB3" s="605" t="s">
        <v>499</v>
      </c>
      <c r="AC3" s="49" t="s">
        <v>77</v>
      </c>
      <c r="AD3" s="136"/>
    </row>
    <row r="4" spans="2:30" ht="39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500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6"/>
      <c r="F6" s="266"/>
      <c r="G6" s="267"/>
      <c r="H6" s="267"/>
      <c r="I6" s="268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19.335304348210293</v>
      </c>
      <c r="G7" s="43">
        <f>IF($Y7="","",SUMIFS('Key Inputs'!$G$29:$G$114,'Key Inputs'!$A$29:$A$114,$V7,'Key Inputs'!$B$29:$B$114,$W7,'Key Inputs'!$C$29:$C$114,$X7))</f>
        <v>0.48571820894923945</v>
      </c>
      <c r="H7" s="257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1.7196908257766739</v>
      </c>
      <c r="AD7" s="16">
        <f t="shared" si="3"/>
        <v>0.83528514784268459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26.354350712206923</v>
      </c>
      <c r="G8" s="43">
        <f>IF($Y8="","",SUMIFS('Key Inputs'!$G$29:$G$114,'Key Inputs'!$A$29:$A$114,$V8,'Key Inputs'!$B$29:$B$114,$W8,'Key Inputs'!$C$29:$C$114,$X8))</f>
        <v>0.5299882794392895</v>
      </c>
      <c r="H8" s="257">
        <f>IF($Y8="","",SUMIFS('Key Inputs'!$I$29:$I$114,'Key Inputs'!$A$29:$A$114,$V8,'Key Inputs'!$B$29:$B$114,$W8,'Key Inputs'!$C$29:$C$114,$X8)/8760)</f>
        <v>9.1324200913242004E-2</v>
      </c>
      <c r="I8" s="259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2.1481757143230484</v>
      </c>
      <c r="AD8" s="16">
        <f t="shared" si="3"/>
        <v>1.138507950767339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7">
        <f>IF($Y9="","",SUMIFS('Key Inputs'!$I$29:$I$114,'Key Inputs'!$A$29:$A$114,$V9,'Key Inputs'!$B$29:$B$114,$W9,'Key Inputs'!$C$29:$C$114,$X9)/8760)</f>
        <v>9.1324200913242004E-2</v>
      </c>
      <c r="I9" s="259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8" t="str">
        <f t="shared" si="6"/>
        <v>SRVELC</v>
      </c>
      <c r="E10" s="14" t="str">
        <f>IF($Y10="","",CONCATENATE(Legend!$C$4,AB10,"-",AA10))</f>
        <v>SRVCK-CS</v>
      </c>
      <c r="F10" s="78">
        <f>IF($Y10="","",SUMIFS('Key Inputs'!$L$29:$L$114,'Key Inputs'!$A$29:$A$114,$V10,'Key Inputs'!$B$29:$B$114,$W10,'Key Inputs'!$C$29:$C$114,$X10))</f>
        <v>44.793704843808051</v>
      </c>
      <c r="G10" s="78">
        <f>IF($Y10="","",SUMIFS('Key Inputs'!$G$29:$G$114,'Key Inputs'!$A$29:$A$114,$V10,'Key Inputs'!$B$29:$B$114,$W10,'Key Inputs'!$C$29:$C$114,$X10))</f>
        <v>0.67758189334652785</v>
      </c>
      <c r="H10" s="264">
        <f>IF($Y10="","",SUMIFS('Key Inputs'!$I$29:$I$114,'Key Inputs'!$A$29:$A$114,$V10,'Key Inputs'!$B$29:$B$114,$W10,'Key Inputs'!$C$29:$C$114,$X10)/8760)</f>
        <v>9.1324200913242004E-2</v>
      </c>
      <c r="I10" s="265">
        <f>IF($Y10="","",SUMIFS('Key Inputs'!$H$29:$H$114,'Key Inputs'!$A$29:$A$114,$V10,'Key Inputs'!$B$29:$B$114,$W10,'Key Inputs'!$C$29:$C$114,$X10))</f>
        <v>15</v>
      </c>
      <c r="J10" s="154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2.8558733169436517</v>
      </c>
      <c r="AD10" s="16">
        <f t="shared" si="3"/>
        <v>1.935088049252508</v>
      </c>
    </row>
    <row r="11" spans="2:30" s="15" customFormat="1">
      <c r="B11" s="15" t="str">
        <f t="shared" si="11"/>
        <v>*Public Services Cooking</v>
      </c>
      <c r="D11" s="266"/>
      <c r="F11" s="43"/>
      <c r="G11" s="43"/>
      <c r="H11" s="267"/>
      <c r="I11" s="268"/>
      <c r="J11" s="76"/>
      <c r="L11" s="15" t="str">
        <f t="shared" si="13"/>
        <v>*Public Services Cooking</v>
      </c>
      <c r="M11" s="170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13.863490144150086</v>
      </c>
      <c r="G12" s="43">
        <f>IF($Y12="","",SUMIFS('Key Inputs'!$G$29:$G$114,'Key Inputs'!$A$29:$A$114,$V12,'Key Inputs'!$B$29:$B$114,$W12,'Key Inputs'!$C$29:$C$114,$X12))</f>
        <v>0.48571820894923945</v>
      </c>
      <c r="H12" s="257">
        <f>IF($Y12="","",SUMIFS('Key Inputs'!$I$29:$I$114,'Key Inputs'!$A$29:$A$114,$V12,'Key Inputs'!$B$29:$B$114,$W12,'Key Inputs'!$C$29:$C$114,$X12)/8760)</f>
        <v>9.1324200913242004E-2</v>
      </c>
      <c r="I12" s="259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1.2330251639585386</v>
      </c>
      <c r="AD12" s="16">
        <f t="shared" si="3"/>
        <v>0.59890277422728366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15.582247330923309</v>
      </c>
      <c r="G13" s="43">
        <f>IF($Y13="","",SUMIFS('Key Inputs'!$G$29:$G$114,'Key Inputs'!$A$29:$A$114,$V13,'Key Inputs'!$B$29:$B$114,$W13,'Key Inputs'!$C$29:$C$114,$X13))</f>
        <v>0.5299882794392895</v>
      </c>
      <c r="H13" s="257">
        <f>IF($Y13="","",SUMIFS('Key Inputs'!$I$29:$I$114,'Key Inputs'!$A$29:$A$114,$V13,'Key Inputs'!$B$29:$B$114,$W13,'Key Inputs'!$C$29:$C$114,$X13)/8760)</f>
        <v>9.1324200913242004E-2</v>
      </c>
      <c r="I13" s="259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1.2701282477568394</v>
      </c>
      <c r="AD13" s="16">
        <f t="shared" si="3"/>
        <v>0.67315308469588697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7">
        <f>IF($Y14="","",SUMIFS('Key Inputs'!$I$29:$I$114,'Key Inputs'!$A$29:$A$114,$V14,'Key Inputs'!$B$29:$B$114,$W14,'Key Inputs'!$C$29:$C$114,$X14)/8760)</f>
        <v>9.1324200913242004E-2</v>
      </c>
      <c r="I14" s="259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8" t="str">
        <f t="shared" si="6"/>
        <v>SRVELC</v>
      </c>
      <c r="E15" s="14" t="str">
        <f>IF($Y15="","",CONCATENATE(Legend!$C$4,AB15,"-",AA15))</f>
        <v>SRVCK-PU</v>
      </c>
      <c r="F15" s="78">
        <f>IF($Y15="","",SUMIFS('Key Inputs'!$L$29:$L$114,'Key Inputs'!$A$29:$A$114,$V15,'Key Inputs'!$B$29:$B$114,$W15,'Key Inputs'!$C$29:$C$114,$X15))</f>
        <v>13.885580006194193</v>
      </c>
      <c r="G15" s="78">
        <f>IF($Y15="","",SUMIFS('Key Inputs'!$G$29:$G$114,'Key Inputs'!$A$29:$A$114,$V15,'Key Inputs'!$B$29:$B$114,$W15,'Key Inputs'!$C$29:$C$114,$X15))</f>
        <v>0.67758189334652785</v>
      </c>
      <c r="H15" s="264">
        <f>IF($Y15="","",SUMIFS('Key Inputs'!$I$29:$I$114,'Key Inputs'!$A$29:$A$114,$V15,'Key Inputs'!$B$29:$B$114,$W15,'Key Inputs'!$C$29:$C$114,$X15)/8760)</f>
        <v>9.1324200913242004E-2</v>
      </c>
      <c r="I15" s="265">
        <f>IF($Y15="","",SUMIFS('Key Inputs'!$H$29:$H$114,'Key Inputs'!$A$29:$A$114,$V15,'Key Inputs'!$B$29:$B$114,$W15,'Key Inputs'!$C$29:$C$114,$X15))</f>
        <v>15</v>
      </c>
      <c r="J15" s="154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0.88529085879927905</v>
      </c>
      <c r="AD15" s="16">
        <f t="shared" si="3"/>
        <v>0.59985705626758912</v>
      </c>
    </row>
    <row r="16" spans="2:30">
      <c r="B16" s="27"/>
      <c r="D16" s="43"/>
      <c r="F16" s="43"/>
      <c r="G16" s="257"/>
      <c r="H16" s="257"/>
      <c r="I16" s="259"/>
      <c r="J16" s="51"/>
      <c r="L16" s="27"/>
      <c r="M16" s="27"/>
    </row>
    <row r="17" spans="2:30">
      <c r="B17" s="27"/>
      <c r="D17" s="43"/>
      <c r="E17" s="15" t="s">
        <v>508</v>
      </c>
      <c r="F17" s="266">
        <f>SUM(F7:F15)</f>
        <v>133.81467738549287</v>
      </c>
      <c r="G17" s="257"/>
      <c r="H17" s="257"/>
      <c r="I17" s="259"/>
      <c r="J17" s="51"/>
      <c r="L17" s="27"/>
      <c r="M17" s="27"/>
      <c r="V17" s="9" t="str">
        <f>IF('Key Inputs'!A85="","",'Key Inputs'!A85)</f>
        <v/>
      </c>
      <c r="AC17" s="166">
        <f>SUM(AC7:AC15)</f>
        <v>10.112184127558031</v>
      </c>
      <c r="AD17" s="166">
        <f>SUM(AD7:AD15)</f>
        <v>5.7807940630532908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376</v>
      </c>
      <c r="W3" s="605" t="s">
        <v>158</v>
      </c>
      <c r="X3" s="605" t="s">
        <v>81</v>
      </c>
      <c r="Y3" s="605" t="s">
        <v>496</v>
      </c>
      <c r="Z3" s="605" t="s">
        <v>497</v>
      </c>
      <c r="AA3" s="605" t="s">
        <v>498</v>
      </c>
      <c r="AB3" s="605" t="s">
        <v>499</v>
      </c>
      <c r="AC3" s="49" t="s">
        <v>77</v>
      </c>
      <c r="AD3" s="136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500</v>
      </c>
    </row>
    <row r="5" spans="2:30" ht="25.5">
      <c r="B5" s="42" t="s">
        <v>131</v>
      </c>
      <c r="C5" s="42"/>
      <c r="D5" s="42"/>
      <c r="E5" s="42"/>
      <c r="F5" s="42" t="s">
        <v>507</v>
      </c>
      <c r="G5" s="272" t="s">
        <v>506</v>
      </c>
      <c r="H5" s="42" t="s">
        <v>132</v>
      </c>
      <c r="I5" s="42" t="s">
        <v>138</v>
      </c>
      <c r="J5" s="42" t="s">
        <v>585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507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2.5559498489728547</v>
      </c>
      <c r="H6" s="259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7.4190386505983934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34.277328015954872</v>
      </c>
      <c r="H7" s="259">
        <f t="shared" ref="H7:H10" si="8">IF($Y7="","",1)</f>
        <v>1</v>
      </c>
      <c r="I7" s="259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2.8762620689614544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8" t="str">
        <f t="shared" si="2"/>
        <v>SRVELC</v>
      </c>
      <c r="E8" s="14" t="str">
        <f>IF($Y8="","",CONCATENATE(Legend!$C$4,AB8,"-",AA8))</f>
        <v>SRVOEL-CS</v>
      </c>
      <c r="F8" s="78">
        <f>IF($Y8="","",SUMIFS('Key Inputs'!$J$29:$J$114,'Key Inputs'!$A$29:$A$114,$V8,'Key Inputs'!$B$29:$B$114,$W8,'Key Inputs'!$C$29:$C$114,$X8))</f>
        <v>0.31296479545509026</v>
      </c>
      <c r="G8" s="78">
        <f>IF($Y8="","",SUMIFS('Key Inputs'!$G$29:$G$114,'Key Inputs'!$A$29:$A$114,$V8,'Key Inputs'!$B$29:$B$114,$W8,'Key Inputs'!$C$29:$C$114,$X8))</f>
        <v>1</v>
      </c>
      <c r="H8" s="265">
        <v>1</v>
      </c>
      <c r="I8" s="265">
        <f>IF($Y8="","",SUMIFS('Key Inputs'!$H$29:$H$114,'Key Inputs'!$A$29:$A$114,$V8,'Key Inputs'!$B$29:$B$114,$W8,'Key Inputs'!$C$29:$C$114,$X8))</f>
        <v>10</v>
      </c>
      <c r="J8" s="308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9.8696577894717272</v>
      </c>
      <c r="AD8" s="16">
        <f t="shared" si="7"/>
        <v>9.8696577894717272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4.0979523881676903</v>
      </c>
      <c r="H9" s="259">
        <f t="shared" si="8"/>
        <v>1</v>
      </c>
      <c r="I9" s="263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2.2998243862869807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54.956813123480558</v>
      </c>
      <c r="H10" s="259">
        <f t="shared" si="8"/>
        <v>1</v>
      </c>
      <c r="I10" s="263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0.89161115867973861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8" t="str">
        <f t="shared" si="2"/>
        <v>SRVELC</v>
      </c>
      <c r="E11" s="14" t="str">
        <f>IF($Y11="","",CONCATENATE(Legend!$C$4,AB11,"-",AA11))</f>
        <v>SRVOEL-PU</v>
      </c>
      <c r="F11" s="78">
        <f>IF($Y11="","",SUMIFS('Key Inputs'!$J$29:$J$114,'Key Inputs'!$A$29:$A$114,$V11,'Key Inputs'!$B$29:$B$114,$W11,'Key Inputs'!$C$29:$C$114,$X11))</f>
        <v>9.7015813306064902E-2</v>
      </c>
      <c r="G11" s="78">
        <f>IF($Y11="","",SUMIFS('Key Inputs'!$G$29:$G$114,'Key Inputs'!$A$29:$A$114,$V11,'Key Inputs'!$B$29:$B$114,$W11,'Key Inputs'!$C$29:$C$114,$X11))</f>
        <v>1</v>
      </c>
      <c r="H11" s="265">
        <v>1</v>
      </c>
      <c r="I11" s="265">
        <f>IF($Y11="","",SUMIFS('Key Inputs'!$H$29:$H$114,'Key Inputs'!$A$29:$A$114,$V11,'Key Inputs'!$B$29:$B$114,$W11,'Key Inputs'!$C$29:$C$114,$X11))</f>
        <v>10</v>
      </c>
      <c r="J11" s="308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3.059490688420063</v>
      </c>
      <c r="AD11" s="16">
        <f t="shared" si="7"/>
        <v>3.059490688420063</v>
      </c>
    </row>
    <row r="12" spans="2:30">
      <c r="B12" s="27"/>
      <c r="D12" s="43"/>
      <c r="F12" s="43"/>
      <c r="G12" s="257"/>
      <c r="H12" s="257"/>
      <c r="I12" s="259"/>
      <c r="J12" s="51"/>
      <c r="L12" s="27"/>
      <c r="M12" s="27"/>
    </row>
    <row r="13" spans="2:30">
      <c r="B13" s="27"/>
      <c r="D13" s="43"/>
      <c r="E13" s="15" t="s">
        <v>508</v>
      </c>
      <c r="F13" s="266">
        <f>SUM(F6:F11)</f>
        <v>176.38792838744604</v>
      </c>
      <c r="G13" s="257"/>
      <c r="H13" s="257"/>
      <c r="I13" s="259"/>
      <c r="J13" s="51"/>
      <c r="L13" s="27"/>
      <c r="M13" s="27"/>
      <c r="AC13" s="166">
        <f>SUM(AC6:AC11)</f>
        <v>26.415884742418356</v>
      </c>
      <c r="AD13" s="166">
        <f>SUM(AD6:AD11)</f>
        <v>188.90709625657669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H40" sqref="H4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513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376</v>
      </c>
      <c r="W3" s="605" t="s">
        <v>158</v>
      </c>
      <c r="X3" s="605" t="s">
        <v>81</v>
      </c>
      <c r="Y3" s="605" t="s">
        <v>496</v>
      </c>
      <c r="Z3" s="605" t="s">
        <v>497</v>
      </c>
      <c r="AA3" s="605" t="s">
        <v>498</v>
      </c>
      <c r="AB3" s="605" t="s">
        <v>499</v>
      </c>
      <c r="AC3" s="49" t="s">
        <v>77</v>
      </c>
      <c r="AD3" s="136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500</v>
      </c>
    </row>
    <row r="5" spans="2:30">
      <c r="B5" s="272" t="s">
        <v>131</v>
      </c>
      <c r="C5" s="272"/>
      <c r="D5" s="272"/>
      <c r="E5" s="272"/>
      <c r="F5" s="272" t="str">
        <f>Q7</f>
        <v>Mlamps</v>
      </c>
      <c r="G5" s="272" t="s">
        <v>148</v>
      </c>
      <c r="H5" s="272" t="s">
        <v>132</v>
      </c>
      <c r="I5" s="272" t="s">
        <v>138</v>
      </c>
      <c r="J5" s="272" t="s">
        <v>505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6"/>
      <c r="F6" s="43"/>
      <c r="G6" s="43"/>
      <c r="H6" s="281"/>
      <c r="I6" s="263"/>
      <c r="J6" s="266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3">
        <f>IF($Y7="","",1)</f>
        <v>1</v>
      </c>
      <c r="I7" s="263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509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3">
        <f t="shared" ref="H8:H10" si="3">IF($Y8="","",1)</f>
        <v>1</v>
      </c>
      <c r="I8" s="263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510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3">
        <f t="shared" si="3"/>
        <v>1</v>
      </c>
      <c r="I9" s="263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511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8" t="str">
        <f>IF($Y10="","",Z10)</f>
        <v>SRVELC</v>
      </c>
      <c r="E10" s="14" t="str">
        <f>IF($Y10="","",CONCATENATE(Legend!$C$4,AB10,"-",Legend!$C$22))</f>
        <v>SRVPLIG-PU</v>
      </c>
      <c r="F10" s="78">
        <f>IF($Y10="","",SUMIFS('Key Inputs'!$M$29:$M$114,'Key Inputs'!$A$29:$A$114,$V10,'Key Inputs'!$B$29:$B$114,$W10,'Key Inputs'!$C$29:$C$114,$X10))</f>
        <v>4.7999999999999996E-3</v>
      </c>
      <c r="G10" s="78">
        <f>IF($Y10="","",1/SUMIFS('Key Inputs'!$L$29:$L$114,'Key Inputs'!$A$29:$A$114,$V10,'Key Inputs'!$B$29:$B$114,$W10,'Key Inputs'!$C$29:$C$114,$X10))</f>
        <v>1.2683916793505834</v>
      </c>
      <c r="H10" s="265">
        <f t="shared" si="3"/>
        <v>1</v>
      </c>
      <c r="I10" s="265">
        <f>IF($Y10="","",SUMIFS('Key Inputs'!$K$29:$K$114,'Key Inputs'!$A$29:$A$114,$V10,'Key Inputs'!$B$29:$B$114,$W10,'Key Inputs'!$C$29:$C$114,$X10))</f>
        <v>20</v>
      </c>
      <c r="J10" s="283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512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3"/>
      <c r="I11" s="263"/>
      <c r="J11" s="43"/>
      <c r="L11" s="27"/>
      <c r="M11" s="27"/>
    </row>
    <row r="12" spans="2:30">
      <c r="B12" s="27"/>
      <c r="D12" s="43"/>
      <c r="E12" s="15" t="s">
        <v>508</v>
      </c>
      <c r="F12" s="266">
        <f>SUM(F6:F10)</f>
        <v>0.48000000000000004</v>
      </c>
      <c r="G12" s="257"/>
      <c r="H12" s="257"/>
      <c r="I12" s="259"/>
      <c r="J12" s="51"/>
      <c r="L12" s="27"/>
      <c r="M12" s="27"/>
      <c r="AC12" s="166">
        <f>SUM(AC6:AC10)</f>
        <v>1.4471239680000001</v>
      </c>
      <c r="AD12" s="166">
        <f>SUM(AD6:AD10)</f>
        <v>0.48000000000000004</v>
      </c>
    </row>
    <row r="14" spans="2:30" ht="23.25">
      <c r="B14" s="47" t="s">
        <v>517</v>
      </c>
    </row>
    <row r="15" spans="2:30">
      <c r="D15" s="40" t="s">
        <v>86</v>
      </c>
      <c r="E15" s="59"/>
    </row>
    <row r="16" spans="2:30" ht="15.75" thickBot="1">
      <c r="B16" s="21" t="s">
        <v>518</v>
      </c>
      <c r="C16" s="21" t="s">
        <v>7</v>
      </c>
      <c r="D16" s="21" t="s">
        <v>625</v>
      </c>
      <c r="E16" s="21">
        <v>2018</v>
      </c>
    </row>
    <row r="17" spans="2:5" ht="25.5">
      <c r="B17" s="39" t="s">
        <v>624</v>
      </c>
      <c r="C17" s="39" t="s">
        <v>515</v>
      </c>
      <c r="D17" s="39"/>
      <c r="E17" s="39" t="s">
        <v>147</v>
      </c>
    </row>
    <row r="18" spans="2:5">
      <c r="B18" s="272" t="s">
        <v>131</v>
      </c>
      <c r="C18" s="272"/>
      <c r="D18" s="272"/>
      <c r="E18" s="280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5" t="str">
        <f>E7</f>
        <v>SRVPLIG-PU</v>
      </c>
      <c r="D19" s="285" t="s">
        <v>139</v>
      </c>
      <c r="E19" s="2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D18" sqref="D18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154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376</v>
      </c>
      <c r="W3" s="605" t="s">
        <v>158</v>
      </c>
      <c r="X3" s="605" t="s">
        <v>81</v>
      </c>
      <c r="Y3" s="605" t="s">
        <v>496</v>
      </c>
      <c r="Z3" s="605" t="s">
        <v>497</v>
      </c>
      <c r="AA3" s="605" t="s">
        <v>498</v>
      </c>
      <c r="AB3" s="605" t="s">
        <v>499</v>
      </c>
      <c r="AC3" s="49" t="s">
        <v>77</v>
      </c>
      <c r="AD3" s="136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586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500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2" t="s">
        <v>506</v>
      </c>
      <c r="H5" s="42" t="s">
        <v>132</v>
      </c>
      <c r="I5" s="42" t="s">
        <v>138</v>
      </c>
      <c r="J5" s="42" t="s">
        <v>505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6"/>
      <c r="F6" s="266"/>
      <c r="G6" s="43"/>
      <c r="H6" s="259"/>
      <c r="I6" s="284"/>
      <c r="J6" s="284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6" t="str">
        <f>IF($Y6="","",AD6/G6)</f>
        <v/>
      </c>
      <c r="AD6" s="166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8" t="str">
        <f>IF($Y7="","",Z7)</f>
        <v>SRVELC</v>
      </c>
      <c r="E7" s="14" t="str">
        <f>IF($Y7="","",CONCATENATE(Legend!$C$4,AB7,"-",AA7))</f>
        <v>SRVDCE-CS</v>
      </c>
      <c r="F7" s="78">
        <f>IF($Y7="","",SUMIFS('Key Inputs'!$F$29:$F$114,'Key Inputs'!$A$29:$A$114,$V7,'Key Inputs'!$B$29:$B$114,$W7,'Key Inputs'!$C$29:$C$114,$X7))</f>
        <v>0.51</v>
      </c>
      <c r="G7" s="78">
        <f>IF($Y7="","",1)</f>
        <v>1</v>
      </c>
      <c r="H7" s="264">
        <f>IF($Y7="","",SUMIFS('Key Inputs'!$G$29:$G$114,'Key Inputs'!$A$29:$A$114,$V7,'Key Inputs'!$B$29:$B$114,$W7,'Key Inputs'!$C$29:$C$114,$X7))</f>
        <v>0.35</v>
      </c>
      <c r="I7" s="265">
        <f>IF($Y7="","",SUMIFS('Key Inputs'!$H$29:$H$114,'Key Inputs'!$A$29:$A$114,$V7,'Key Inputs'!$B$29:$B$114,$W7,'Key Inputs'!$C$29:$C$114,$X7))</f>
        <v>20</v>
      </c>
      <c r="J7" s="78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7"/>
      <c r="H8" s="257"/>
      <c r="I8" s="259"/>
      <c r="J8" s="51"/>
      <c r="L8" s="27"/>
      <c r="M8" s="27"/>
    </row>
    <row r="9" spans="2:30">
      <c r="B9" s="27"/>
      <c r="D9" s="43"/>
      <c r="E9" s="15" t="s">
        <v>508</v>
      </c>
      <c r="F9" s="266">
        <f>SUM(F6:F7)</f>
        <v>0.51</v>
      </c>
      <c r="G9" s="257"/>
      <c r="H9" s="257"/>
      <c r="I9" s="259"/>
      <c r="J9" s="51"/>
      <c r="L9" s="27"/>
      <c r="M9" s="27"/>
      <c r="AC9" s="166">
        <f>SUM(AC6:AC7)</f>
        <v>5.6291760000000002</v>
      </c>
      <c r="AD9" s="166">
        <f>SUM(AD6:AD7)</f>
        <v>5.6291760000000002</v>
      </c>
    </row>
    <row r="11" spans="2:30" ht="23.25">
      <c r="B11" s="47" t="s">
        <v>517</v>
      </c>
    </row>
    <row r="12" spans="2:30">
      <c r="D12" s="40" t="s">
        <v>86</v>
      </c>
      <c r="E12" s="59"/>
    </row>
    <row r="13" spans="2:30" ht="15.75" thickBot="1">
      <c r="B13" s="21" t="s">
        <v>518</v>
      </c>
      <c r="C13" s="21" t="s">
        <v>7</v>
      </c>
      <c r="D13" s="21" t="s">
        <v>625</v>
      </c>
      <c r="E13" s="21">
        <v>2018</v>
      </c>
    </row>
    <row r="14" spans="2:30" ht="25.5">
      <c r="B14" s="39" t="s">
        <v>624</v>
      </c>
      <c r="C14" s="39" t="s">
        <v>515</v>
      </c>
      <c r="D14" s="39"/>
      <c r="E14" s="39" t="s">
        <v>147</v>
      </c>
    </row>
    <row r="15" spans="2:30">
      <c r="B15" s="272" t="s">
        <v>131</v>
      </c>
      <c r="C15" s="272"/>
      <c r="D15" s="272"/>
      <c r="E15" s="280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5" t="str">
        <f>E7</f>
        <v>SRVDCE-CS</v>
      </c>
      <c r="D16" s="285" t="s">
        <v>139</v>
      </c>
      <c r="E16" s="2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60" t="str">
        <f>Commodities!E23</f>
        <v>Solids (SRV)</v>
      </c>
      <c r="D4" s="60" t="str">
        <f>Commodities!E24</f>
        <v>LPG (SRV)</v>
      </c>
      <c r="E4" s="60" t="str">
        <f>Commodities!E25</f>
        <v>Oil (SRV)</v>
      </c>
      <c r="F4" s="60" t="str">
        <f>Commodities!E26</f>
        <v>Natural Gas (SRV)</v>
      </c>
      <c r="G4" s="60" t="str">
        <f>Commodities!E27</f>
        <v>Biomass (SRV)</v>
      </c>
      <c r="H4" s="60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2" t="str">
        <f>Commodities!D38</f>
        <v>SRVCO2N</v>
      </c>
      <c r="C6" s="305">
        <v>94.6</v>
      </c>
      <c r="D6" s="305">
        <v>63.7</v>
      </c>
      <c r="E6" s="261">
        <f>SUMPRODUCT(C17:C19,'Fuel Techs'!H7:H9)</f>
        <v>73.301034822559004</v>
      </c>
      <c r="F6" s="305">
        <v>55.74</v>
      </c>
      <c r="G6" s="303">
        <v>0</v>
      </c>
      <c r="H6" s="303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301" t="s">
        <v>546</v>
      </c>
      <c r="C17" s="304">
        <v>71.900000000000006</v>
      </c>
    </row>
    <row r="18" spans="2:3">
      <c r="B18" s="301" t="s">
        <v>577</v>
      </c>
      <c r="C18" s="304">
        <v>74.099999999999994</v>
      </c>
    </row>
    <row r="19" spans="2:3">
      <c r="B19" s="306" t="s">
        <v>578</v>
      </c>
      <c r="C19" s="300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C2" activePane="bottomRight" state="frozen"/>
      <selection activeCell="F22" sqref="F22"/>
      <selection pane="topRight" activeCell="F22" sqref="F22"/>
      <selection pane="bottomLeft" activeCell="F22" sqref="F22"/>
      <selection pane="bottomRight" activeCell="C12" sqref="C12"/>
    </sheetView>
  </sheetViews>
  <sheetFormatPr defaultColWidth="9.140625" defaultRowHeight="12.75"/>
  <cols>
    <col min="1" max="1" width="38.140625" style="86" customWidth="1"/>
    <col min="2" max="2" width="13" style="80" bestFit="1" customWidth="1"/>
    <col min="3" max="4" width="7.5703125" style="85" bestFit="1" customWidth="1"/>
    <col min="5" max="5" width="9.140625" style="85"/>
    <col min="6" max="6" width="6.140625" style="87" customWidth="1"/>
    <col min="7" max="7" width="5.85546875" style="87" bestFit="1" customWidth="1"/>
    <col min="8" max="8" width="6.42578125" style="85" bestFit="1" customWidth="1"/>
    <col min="9" max="9" width="6.140625" style="87" bestFit="1" customWidth="1"/>
    <col min="10" max="10" width="6" style="87" bestFit="1" customWidth="1"/>
    <col min="11" max="11" width="6.85546875" style="87" bestFit="1" customWidth="1"/>
    <col min="12" max="12" width="8.7109375" style="84" bestFit="1" customWidth="1"/>
    <col min="13" max="13" width="8.140625" style="80" bestFit="1" customWidth="1"/>
    <col min="14" max="14" width="8.140625" style="80" customWidth="1"/>
    <col min="15" max="15" width="5.28515625" style="80" customWidth="1"/>
    <col min="16" max="16" width="7.42578125" style="80" customWidth="1"/>
    <col min="17" max="17" width="7.42578125" style="80" bestFit="1" customWidth="1"/>
    <col min="18" max="18" width="8.140625" style="80" bestFit="1" customWidth="1"/>
    <col min="19" max="19" width="7.28515625" style="80" bestFit="1" customWidth="1"/>
    <col min="20" max="20" width="7.42578125" style="80" bestFit="1" customWidth="1"/>
    <col min="21" max="21" width="8.42578125" style="80" bestFit="1" customWidth="1"/>
    <col min="22" max="22" width="6.85546875" style="80" bestFit="1" customWidth="1"/>
    <col min="23" max="25" width="5.42578125" style="80" customWidth="1"/>
    <col min="26" max="26" width="5.42578125" style="87" customWidth="1"/>
    <col min="27" max="27" width="8.140625" style="84" bestFit="1" customWidth="1"/>
    <col min="28" max="28" width="6.7109375" style="84" bestFit="1" customWidth="1"/>
    <col min="29" max="30" width="5.5703125" style="80" customWidth="1"/>
    <col min="31" max="31" width="8.7109375" style="80" bestFit="1" customWidth="1"/>
    <col min="32" max="32" width="8.7109375" style="80" customWidth="1"/>
    <col min="33" max="33" width="5.5703125" style="80" customWidth="1"/>
    <col min="34" max="34" width="5.85546875" style="80" bestFit="1" customWidth="1"/>
    <col min="35" max="37" width="7" style="80" customWidth="1"/>
    <col min="38" max="40" width="5.5703125" style="80" customWidth="1"/>
    <col min="41" max="41" width="8.7109375" style="84" bestFit="1" customWidth="1"/>
    <col min="42" max="42" width="4.42578125" style="84" bestFit="1" customWidth="1"/>
    <col min="43" max="43" width="9.28515625" style="80" bestFit="1" customWidth="1"/>
    <col min="44" max="44" width="9.140625" style="80"/>
    <col min="45" max="45" width="9.140625" style="82"/>
    <col min="46" max="16384" width="9.140625" style="80"/>
  </cols>
  <sheetData>
    <row r="1" spans="1:45" ht="105.75" customHeight="1" thickBot="1">
      <c r="A1" s="327" t="s">
        <v>187</v>
      </c>
      <c r="B1" s="328" t="s">
        <v>188</v>
      </c>
      <c r="C1" s="329" t="s">
        <v>189</v>
      </c>
      <c r="D1" s="330" t="s">
        <v>190</v>
      </c>
      <c r="E1" s="331" t="s">
        <v>191</v>
      </c>
      <c r="F1" s="332" t="s">
        <v>192</v>
      </c>
      <c r="G1" s="332" t="s">
        <v>193</v>
      </c>
      <c r="H1" s="333" t="s">
        <v>194</v>
      </c>
      <c r="I1" s="330" t="s">
        <v>195</v>
      </c>
      <c r="J1" s="331" t="s">
        <v>196</v>
      </c>
      <c r="K1" s="331" t="s">
        <v>197</v>
      </c>
      <c r="L1" s="333" t="s">
        <v>198</v>
      </c>
      <c r="M1" s="330" t="s">
        <v>199</v>
      </c>
      <c r="N1" s="330" t="s">
        <v>200</v>
      </c>
      <c r="O1" s="331" t="s">
        <v>201</v>
      </c>
      <c r="P1" s="331" t="s">
        <v>202</v>
      </c>
      <c r="Q1" s="331" t="s">
        <v>203</v>
      </c>
      <c r="R1" s="331" t="s">
        <v>204</v>
      </c>
      <c r="S1" s="331" t="s">
        <v>205</v>
      </c>
      <c r="T1" s="331" t="s">
        <v>206</v>
      </c>
      <c r="U1" s="331" t="s">
        <v>207</v>
      </c>
      <c r="V1" s="331" t="s">
        <v>208</v>
      </c>
      <c r="W1" s="332" t="s">
        <v>209</v>
      </c>
      <c r="X1" s="332" t="s">
        <v>210</v>
      </c>
      <c r="Y1" s="332" t="s">
        <v>211</v>
      </c>
      <c r="Z1" s="331" t="s">
        <v>212</v>
      </c>
      <c r="AA1" s="333" t="s">
        <v>213</v>
      </c>
      <c r="AB1" s="334" t="s">
        <v>214</v>
      </c>
      <c r="AC1" s="335" t="s">
        <v>215</v>
      </c>
      <c r="AD1" s="331" t="s">
        <v>216</v>
      </c>
      <c r="AE1" s="331" t="s">
        <v>217</v>
      </c>
      <c r="AF1" s="331" t="s">
        <v>218</v>
      </c>
      <c r="AG1" s="331" t="s">
        <v>219</v>
      </c>
      <c r="AH1" s="331" t="s">
        <v>220</v>
      </c>
      <c r="AI1" s="331" t="s">
        <v>221</v>
      </c>
      <c r="AJ1" s="331" t="s">
        <v>222</v>
      </c>
      <c r="AK1" s="331" t="s">
        <v>223</v>
      </c>
      <c r="AL1" s="331" t="s">
        <v>224</v>
      </c>
      <c r="AM1" s="332" t="s">
        <v>225</v>
      </c>
      <c r="AN1" s="333" t="s">
        <v>226</v>
      </c>
      <c r="AO1" s="333" t="s">
        <v>227</v>
      </c>
      <c r="AP1" s="334" t="s">
        <v>228</v>
      </c>
      <c r="AQ1" s="336" t="s">
        <v>229</v>
      </c>
      <c r="AS1" s="81"/>
    </row>
    <row r="2" spans="1:45" ht="12.75" customHeight="1">
      <c r="A2" s="337" t="s">
        <v>230</v>
      </c>
      <c r="B2" s="338"/>
      <c r="C2" s="339">
        <f>SUM(D2:G2)</f>
        <v>0</v>
      </c>
      <c r="D2" s="340">
        <v>0</v>
      </c>
      <c r="E2" s="341"/>
      <c r="F2" s="342"/>
      <c r="G2" s="342"/>
      <c r="H2" s="343">
        <f>SUM(I2:K2)</f>
        <v>815.92434898628403</v>
      </c>
      <c r="I2" s="344">
        <v>688.22034898628408</v>
      </c>
      <c r="J2" s="345">
        <v>127.70399999999999</v>
      </c>
      <c r="K2" s="346"/>
      <c r="L2" s="343">
        <f>SUM(M2:Z2)</f>
        <v>0</v>
      </c>
      <c r="M2" s="344"/>
      <c r="N2" s="347"/>
      <c r="O2" s="348"/>
      <c r="P2" s="348"/>
      <c r="Q2" s="348"/>
      <c r="R2" s="348"/>
      <c r="S2" s="348"/>
      <c r="T2" s="348"/>
      <c r="U2" s="348"/>
      <c r="V2" s="348"/>
      <c r="W2" s="342"/>
      <c r="X2" s="342"/>
      <c r="Y2" s="342"/>
      <c r="Z2" s="346"/>
      <c r="AA2" s="343">
        <v>2751.9191872187112</v>
      </c>
      <c r="AB2" s="349">
        <f>SUM(AC2:AM2)</f>
        <v>1334.658297317769</v>
      </c>
      <c r="AC2" s="350">
        <v>59.691708987970003</v>
      </c>
      <c r="AD2" s="346">
        <v>743.01992281532614</v>
      </c>
      <c r="AE2" s="346">
        <v>248.90859762015592</v>
      </c>
      <c r="AF2" s="346">
        <v>139.99992739520798</v>
      </c>
      <c r="AG2" s="346">
        <v>33.531818868055431</v>
      </c>
      <c r="AH2" s="346">
        <v>16.813132576534866</v>
      </c>
      <c r="AI2" s="346">
        <v>31.064467987392003</v>
      </c>
      <c r="AJ2" s="346">
        <v>2.6691993220799999</v>
      </c>
      <c r="AK2" s="344">
        <v>1.8899880806415161</v>
      </c>
      <c r="AL2" s="344">
        <v>13.54608560366562</v>
      </c>
      <c r="AM2" s="342">
        <v>43.523448060739646</v>
      </c>
      <c r="AN2" s="351">
        <v>145.43710297949829</v>
      </c>
      <c r="AO2" s="351"/>
      <c r="AP2" s="349"/>
      <c r="AQ2" s="352">
        <f>C2+H2+L2+AA2+AB2+AN2+AO2+AP2</f>
        <v>5047.9389365022625</v>
      </c>
    </row>
    <row r="3" spans="1:45" ht="12.75" customHeight="1">
      <c r="A3" s="353" t="s">
        <v>231</v>
      </c>
      <c r="B3" s="354"/>
      <c r="C3" s="355">
        <f>SUM(D3:G3)</f>
        <v>903.49466255082825</v>
      </c>
      <c r="D3" s="356">
        <v>829.57460107090037</v>
      </c>
      <c r="E3" s="357">
        <v>61.722867734674637</v>
      </c>
      <c r="F3" s="358"/>
      <c r="G3" s="358">
        <v>12.197193745253209</v>
      </c>
      <c r="H3" s="359">
        <f>SUM(I3:K3)</f>
        <v>0</v>
      </c>
      <c r="I3" s="360"/>
      <c r="J3" s="361"/>
      <c r="K3" s="362"/>
      <c r="L3" s="359">
        <f>SUM(M3:Z3)</f>
        <v>9138.5577999094057</v>
      </c>
      <c r="M3" s="360">
        <v>3053.4742963851995</v>
      </c>
      <c r="N3" s="360">
        <v>16.633377499200002</v>
      </c>
      <c r="O3" s="362">
        <v>0</v>
      </c>
      <c r="P3" s="362">
        <v>564.2364083333332</v>
      </c>
      <c r="Q3" s="362">
        <v>369.14638715136005</v>
      </c>
      <c r="R3" s="362">
        <v>1542.2444022448799</v>
      </c>
      <c r="S3" s="362">
        <v>82.827948630790956</v>
      </c>
      <c r="T3" s="362">
        <v>157.5463640726893</v>
      </c>
      <c r="U3" s="362">
        <v>2932.6955801163149</v>
      </c>
      <c r="V3" s="362">
        <v>166.37647928144222</v>
      </c>
      <c r="W3" s="358">
        <v>7.5616539426795564</v>
      </c>
      <c r="X3" s="358">
        <v>200.83222211696253</v>
      </c>
      <c r="Y3" s="358">
        <v>1.2281470084248403</v>
      </c>
      <c r="Z3" s="362">
        <v>43.754533126130625</v>
      </c>
      <c r="AA3" s="359">
        <v>1728.338063506957</v>
      </c>
      <c r="AB3" s="363">
        <f>SUM(AC3:AM3)</f>
        <v>151.93355907200862</v>
      </c>
      <c r="AC3" s="364"/>
      <c r="AD3" s="362"/>
      <c r="AE3" s="362">
        <v>24.282116302936618</v>
      </c>
      <c r="AF3" s="362"/>
      <c r="AG3" s="362"/>
      <c r="AH3" s="362"/>
      <c r="AI3" s="362">
        <v>104.81441230492801</v>
      </c>
      <c r="AJ3" s="362">
        <v>22.837030464144</v>
      </c>
      <c r="AK3" s="360"/>
      <c r="AL3" s="360"/>
      <c r="AM3" s="358"/>
      <c r="AN3" s="365"/>
      <c r="AO3" s="365">
        <v>139.45061680000001</v>
      </c>
      <c r="AP3" s="363"/>
      <c r="AQ3" s="366">
        <f t="shared" ref="AQ3:AQ20" si="0">C3+H3+L3+AA3+AB3+AN3+AO3+AP3</f>
        <v>12061.7747018392</v>
      </c>
    </row>
    <row r="4" spans="1:45" ht="12.75" customHeight="1">
      <c r="A4" s="353" t="s">
        <v>232</v>
      </c>
      <c r="B4" s="354"/>
      <c r="C4" s="355">
        <f>SUM(D4:G4)</f>
        <v>15.186580890896002</v>
      </c>
      <c r="D4" s="356">
        <v>0</v>
      </c>
      <c r="E4" s="367">
        <v>14.097722162000002</v>
      </c>
      <c r="F4" s="358"/>
      <c r="G4" s="358">
        <v>1.0888587288959999</v>
      </c>
      <c r="H4" s="359">
        <f>SUM(I4:K4)</f>
        <v>7.0330680000000001</v>
      </c>
      <c r="I4" s="360"/>
      <c r="J4" s="361"/>
      <c r="K4" s="362">
        <v>7.0330680000000001</v>
      </c>
      <c r="L4" s="359">
        <f>SUM(M4:Z4)</f>
        <v>1717.0624747879344</v>
      </c>
      <c r="M4" s="360">
        <v>0</v>
      </c>
      <c r="N4" s="360">
        <v>0</v>
      </c>
      <c r="O4" s="362"/>
      <c r="P4" s="362">
        <v>364.52221864444448</v>
      </c>
      <c r="Q4" s="362">
        <v>21.672508399360005</v>
      </c>
      <c r="R4" s="362">
        <v>156.29379915984001</v>
      </c>
      <c r="S4" s="362">
        <v>986.60611760112999</v>
      </c>
      <c r="T4" s="362">
        <v>35.289733288720633</v>
      </c>
      <c r="U4" s="362">
        <v>102.14625414775992</v>
      </c>
      <c r="V4" s="362">
        <v>2.9088437938490893E-3</v>
      </c>
      <c r="W4" s="358">
        <v>36.297317128453038</v>
      </c>
      <c r="X4" s="358">
        <v>5.4694689952000006</v>
      </c>
      <c r="Y4" s="358">
        <v>1.8500297569930473E-2</v>
      </c>
      <c r="Z4" s="362">
        <v>8.7436482816626366</v>
      </c>
      <c r="AA4" s="359">
        <v>0</v>
      </c>
      <c r="AB4" s="363">
        <f>SUM(AC4:AM4)</f>
        <v>9.4476585178560004</v>
      </c>
      <c r="AC4" s="364"/>
      <c r="AD4" s="362"/>
      <c r="AE4" s="362">
        <v>0.41264639999999991</v>
      </c>
      <c r="AF4" s="362"/>
      <c r="AG4" s="362"/>
      <c r="AH4" s="362"/>
      <c r="AI4" s="362">
        <v>9.0350121178560006</v>
      </c>
      <c r="AJ4" s="362">
        <v>0</v>
      </c>
      <c r="AK4" s="360"/>
      <c r="AL4" s="360"/>
      <c r="AM4" s="358"/>
      <c r="AN4" s="365"/>
      <c r="AO4" s="365">
        <v>141.83539077999998</v>
      </c>
      <c r="AP4" s="363"/>
      <c r="AQ4" s="366">
        <f t="shared" si="0"/>
        <v>1890.5651729766864</v>
      </c>
    </row>
    <row r="5" spans="1:45" ht="12.75" customHeight="1">
      <c r="A5" s="353" t="s">
        <v>233</v>
      </c>
      <c r="B5" s="354"/>
      <c r="C5" s="355">
        <f>SUM(D5:G5)</f>
        <v>0</v>
      </c>
      <c r="D5" s="356"/>
      <c r="E5" s="367"/>
      <c r="F5" s="358"/>
      <c r="G5" s="358"/>
      <c r="H5" s="359">
        <f>SUM(I5:K5)</f>
        <v>0</v>
      </c>
      <c r="I5" s="360"/>
      <c r="J5" s="361"/>
      <c r="K5" s="362"/>
      <c r="L5" s="359">
        <f>SUM(M5:Z5)</f>
        <v>172.71258946798309</v>
      </c>
      <c r="M5" s="360"/>
      <c r="N5" s="360"/>
      <c r="O5" s="362"/>
      <c r="P5" s="362"/>
      <c r="Q5" s="362"/>
      <c r="R5" s="362"/>
      <c r="S5" s="362">
        <v>15.730078096892656</v>
      </c>
      <c r="T5" s="362"/>
      <c r="U5" s="362">
        <v>156.98251137109042</v>
      </c>
      <c r="V5" s="362"/>
      <c r="W5" s="358"/>
      <c r="X5" s="358"/>
      <c r="Y5" s="358"/>
      <c r="Z5" s="362"/>
      <c r="AA5" s="359"/>
      <c r="AB5" s="363">
        <f>SUM(AC5:AM5)</f>
        <v>0</v>
      </c>
      <c r="AC5" s="364"/>
      <c r="AD5" s="362"/>
      <c r="AE5" s="362"/>
      <c r="AF5" s="362"/>
      <c r="AG5" s="362"/>
      <c r="AH5" s="362"/>
      <c r="AI5" s="362"/>
      <c r="AJ5" s="362"/>
      <c r="AK5" s="360"/>
      <c r="AL5" s="360"/>
      <c r="AM5" s="358"/>
      <c r="AN5" s="365"/>
      <c r="AO5" s="365"/>
      <c r="AP5" s="363"/>
      <c r="AQ5" s="366">
        <f t="shared" si="0"/>
        <v>172.71258946798309</v>
      </c>
    </row>
    <row r="6" spans="1:45" ht="12.75" customHeight="1" thickBot="1">
      <c r="A6" s="368" t="s">
        <v>234</v>
      </c>
      <c r="B6" s="369"/>
      <c r="C6" s="355">
        <f>SUM(D6:G6)</f>
        <v>-101.25634942971131</v>
      </c>
      <c r="D6" s="370">
        <v>-101.869888772661</v>
      </c>
      <c r="E6" s="358">
        <v>-0.8079766727235479</v>
      </c>
      <c r="F6" s="371"/>
      <c r="G6" s="371">
        <v>1.4215160156732278</v>
      </c>
      <c r="H6" s="372">
        <f>SUM(I6:K6)</f>
        <v>-122.93905189963694</v>
      </c>
      <c r="I6" s="373">
        <v>-136.53826589963694</v>
      </c>
      <c r="J6" s="374">
        <v>0</v>
      </c>
      <c r="K6" s="373">
        <v>13.599214000000003</v>
      </c>
      <c r="L6" s="372">
        <f>SUM(M6:Z6)</f>
        <v>151.33981188504902</v>
      </c>
      <c r="M6" s="360">
        <v>38.730964773999993</v>
      </c>
      <c r="N6" s="360">
        <v>-8.8751519999999999</v>
      </c>
      <c r="O6" s="362"/>
      <c r="P6" s="362">
        <v>-9.6980083333333713</v>
      </c>
      <c r="Q6" s="362">
        <v>12.883201938880001</v>
      </c>
      <c r="R6" s="362">
        <v>82.12024884504001</v>
      </c>
      <c r="S6" s="362">
        <v>23.637599999999999</v>
      </c>
      <c r="T6" s="362">
        <v>1.4659197380156652</v>
      </c>
      <c r="U6" s="362">
        <v>8.3874136006762399</v>
      </c>
      <c r="V6" s="362">
        <v>3.2040911090633046</v>
      </c>
      <c r="W6" s="371">
        <v>-0.51646778729281662</v>
      </c>
      <c r="X6" s="371">
        <v>0</v>
      </c>
      <c r="Y6" s="371">
        <v>0</v>
      </c>
      <c r="Z6" s="373">
        <v>0</v>
      </c>
      <c r="AA6" s="372">
        <v>0</v>
      </c>
      <c r="AB6" s="375">
        <f>SUM(AC6:AM6)</f>
        <v>4.4601014379600006</v>
      </c>
      <c r="AC6" s="376"/>
      <c r="AD6" s="377"/>
      <c r="AE6" s="377">
        <v>0.26707427819999968</v>
      </c>
      <c r="AF6" s="377"/>
      <c r="AG6" s="377"/>
      <c r="AH6" s="377"/>
      <c r="AI6" s="377">
        <v>1.7828522013120007</v>
      </c>
      <c r="AJ6" s="377">
        <v>2.4101749584479997</v>
      </c>
      <c r="AK6" s="373"/>
      <c r="AL6" s="373"/>
      <c r="AM6" s="371"/>
      <c r="AN6" s="378"/>
      <c r="AO6" s="378"/>
      <c r="AP6" s="375"/>
      <c r="AQ6" s="379">
        <f t="shared" si="0"/>
        <v>-68.395488006339221</v>
      </c>
    </row>
    <row r="7" spans="1:45" s="84" customFormat="1" ht="12.75" customHeight="1">
      <c r="A7" s="380" t="s">
        <v>235</v>
      </c>
      <c r="B7" s="381"/>
      <c r="C7" s="382">
        <f t="shared" ref="C7:AP7" si="1">C2+C3-C4-C5+C6</f>
        <v>787.05173223022086</v>
      </c>
      <c r="D7" s="383">
        <f t="shared" si="1"/>
        <v>727.70471229823943</v>
      </c>
      <c r="E7" s="384">
        <f t="shared" si="1"/>
        <v>46.817168899951085</v>
      </c>
      <c r="F7" s="384">
        <f t="shared" si="1"/>
        <v>0</v>
      </c>
      <c r="G7" s="384">
        <f t="shared" si="1"/>
        <v>12.529851032030438</v>
      </c>
      <c r="H7" s="385">
        <f t="shared" si="1"/>
        <v>685.95222908664709</v>
      </c>
      <c r="I7" s="383">
        <f t="shared" si="1"/>
        <v>551.68208308664714</v>
      </c>
      <c r="J7" s="386">
        <f t="shared" si="1"/>
        <v>127.70399999999999</v>
      </c>
      <c r="K7" s="384">
        <f t="shared" si="1"/>
        <v>6.5661460000000034</v>
      </c>
      <c r="L7" s="385">
        <f t="shared" si="1"/>
        <v>7400.1225475385372</v>
      </c>
      <c r="M7" s="383">
        <f t="shared" si="1"/>
        <v>3092.2052611591994</v>
      </c>
      <c r="N7" s="383">
        <f t="shared" si="1"/>
        <v>7.7582254992000017</v>
      </c>
      <c r="O7" s="384">
        <f t="shared" si="1"/>
        <v>0</v>
      </c>
      <c r="P7" s="384">
        <f t="shared" si="1"/>
        <v>190.01618135555535</v>
      </c>
      <c r="Q7" s="384">
        <f t="shared" si="1"/>
        <v>360.35708069088003</v>
      </c>
      <c r="R7" s="384">
        <f t="shared" si="1"/>
        <v>1468.0708519300797</v>
      </c>
      <c r="S7" s="384">
        <f t="shared" si="1"/>
        <v>-895.87064706723163</v>
      </c>
      <c r="T7" s="384">
        <f t="shared" si="1"/>
        <v>123.72255052198433</v>
      </c>
      <c r="U7" s="384">
        <f t="shared" si="1"/>
        <v>2681.9542281981408</v>
      </c>
      <c r="V7" s="384">
        <f t="shared" si="1"/>
        <v>169.57766154671168</v>
      </c>
      <c r="W7" s="384">
        <f t="shared" si="1"/>
        <v>-29.252130973066301</v>
      </c>
      <c r="X7" s="384">
        <f t="shared" si="1"/>
        <v>195.36275312176252</v>
      </c>
      <c r="Y7" s="384">
        <f t="shared" si="1"/>
        <v>1.2096467108549098</v>
      </c>
      <c r="Z7" s="384">
        <f t="shared" si="1"/>
        <v>35.010884844467988</v>
      </c>
      <c r="AA7" s="385">
        <f t="shared" si="1"/>
        <v>4480.2572507256682</v>
      </c>
      <c r="AB7" s="385">
        <f t="shared" si="1"/>
        <v>1481.6042993098815</v>
      </c>
      <c r="AC7" s="383">
        <f t="shared" si="1"/>
        <v>59.691708987970003</v>
      </c>
      <c r="AD7" s="384">
        <f t="shared" si="1"/>
        <v>743.01992281532614</v>
      </c>
      <c r="AE7" s="384">
        <f t="shared" si="1"/>
        <v>273.04514180129252</v>
      </c>
      <c r="AF7" s="384">
        <f t="shared" si="1"/>
        <v>139.99992739520798</v>
      </c>
      <c r="AG7" s="384">
        <f t="shared" si="1"/>
        <v>33.531818868055431</v>
      </c>
      <c r="AH7" s="384">
        <f t="shared" si="1"/>
        <v>16.813132576534866</v>
      </c>
      <c r="AI7" s="384">
        <f t="shared" si="1"/>
        <v>128.62672037577602</v>
      </c>
      <c r="AJ7" s="384">
        <f t="shared" si="1"/>
        <v>27.916404744672001</v>
      </c>
      <c r="AK7" s="387">
        <f t="shared" si="1"/>
        <v>1.8899880806415161</v>
      </c>
      <c r="AL7" s="387">
        <f t="shared" si="1"/>
        <v>13.54608560366562</v>
      </c>
      <c r="AM7" s="383">
        <f t="shared" si="1"/>
        <v>43.523448060739646</v>
      </c>
      <c r="AN7" s="385">
        <f t="shared" si="1"/>
        <v>145.43710297949829</v>
      </c>
      <c r="AO7" s="385">
        <f t="shared" si="1"/>
        <v>-2.3847739799999772</v>
      </c>
      <c r="AP7" s="388">
        <f t="shared" si="1"/>
        <v>0</v>
      </c>
      <c r="AQ7" s="389">
        <f t="shared" si="0"/>
        <v>14978.040387890453</v>
      </c>
      <c r="AR7" s="80"/>
      <c r="AS7" s="83"/>
    </row>
    <row r="8" spans="1:45" s="84" customFormat="1" ht="12.75" customHeight="1" thickBot="1">
      <c r="A8" s="390" t="s">
        <v>236</v>
      </c>
      <c r="B8" s="391"/>
      <c r="C8" s="392">
        <f t="shared" ref="C8:AP8" si="2">C7-C27</f>
        <v>787.05173223022086</v>
      </c>
      <c r="D8" s="393">
        <f t="shared" si="2"/>
        <v>727.70471229823943</v>
      </c>
      <c r="E8" s="394">
        <f t="shared" si="2"/>
        <v>46.817168899951085</v>
      </c>
      <c r="F8" s="395">
        <f t="shared" si="2"/>
        <v>0</v>
      </c>
      <c r="G8" s="395">
        <f t="shared" si="2"/>
        <v>12.529851032030438</v>
      </c>
      <c r="H8" s="396">
        <f t="shared" si="2"/>
        <v>685.95222908664709</v>
      </c>
      <c r="I8" s="393">
        <f t="shared" si="2"/>
        <v>551.68208308664714</v>
      </c>
      <c r="J8" s="397">
        <f t="shared" si="2"/>
        <v>127.70399999999999</v>
      </c>
      <c r="K8" s="394">
        <f t="shared" si="2"/>
        <v>6.5661460000000034</v>
      </c>
      <c r="L8" s="396">
        <f t="shared" si="2"/>
        <v>7168.5392628614518</v>
      </c>
      <c r="M8" s="393">
        <f t="shared" si="2"/>
        <v>3092.2052611591994</v>
      </c>
      <c r="N8" s="393">
        <f t="shared" si="2"/>
        <v>7.7582254992000017</v>
      </c>
      <c r="O8" s="394">
        <f t="shared" si="2"/>
        <v>0</v>
      </c>
      <c r="P8" s="394">
        <f t="shared" si="2"/>
        <v>190.01618135555535</v>
      </c>
      <c r="Q8" s="394">
        <f t="shared" si="2"/>
        <v>360.35708069088003</v>
      </c>
      <c r="R8" s="394">
        <f t="shared" si="2"/>
        <v>1468.0708519300797</v>
      </c>
      <c r="S8" s="394">
        <f t="shared" si="2"/>
        <v>-895.87064706723163</v>
      </c>
      <c r="T8" s="394">
        <f t="shared" si="2"/>
        <v>123.72255052198433</v>
      </c>
      <c r="U8" s="394">
        <f t="shared" si="2"/>
        <v>2681.9542281981408</v>
      </c>
      <c r="V8" s="394">
        <f t="shared" si="2"/>
        <v>169.57766154671168</v>
      </c>
      <c r="W8" s="395">
        <f t="shared" si="2"/>
        <v>-29.252130973066301</v>
      </c>
      <c r="X8" s="395">
        <f t="shared" si="2"/>
        <v>0</v>
      </c>
      <c r="Y8" s="395">
        <f t="shared" si="2"/>
        <v>0</v>
      </c>
      <c r="Z8" s="394">
        <f t="shared" si="2"/>
        <v>0</v>
      </c>
      <c r="AA8" s="396">
        <f t="shared" si="2"/>
        <v>4480.2572507256682</v>
      </c>
      <c r="AB8" s="398">
        <f t="shared" si="2"/>
        <v>1481.6042993098815</v>
      </c>
      <c r="AC8" s="393">
        <f t="shared" si="2"/>
        <v>59.691708987970003</v>
      </c>
      <c r="AD8" s="394">
        <f t="shared" si="2"/>
        <v>743.01992281532614</v>
      </c>
      <c r="AE8" s="394">
        <f t="shared" si="2"/>
        <v>273.04514180129252</v>
      </c>
      <c r="AF8" s="394">
        <f t="shared" si="2"/>
        <v>139.99992739520798</v>
      </c>
      <c r="AG8" s="394">
        <f t="shared" si="2"/>
        <v>33.531818868055431</v>
      </c>
      <c r="AH8" s="394">
        <f t="shared" si="2"/>
        <v>16.813132576534866</v>
      </c>
      <c r="AI8" s="394">
        <f t="shared" si="2"/>
        <v>128.62672037577602</v>
      </c>
      <c r="AJ8" s="394">
        <f t="shared" si="2"/>
        <v>27.916404744672001</v>
      </c>
      <c r="AK8" s="399">
        <f t="shared" si="2"/>
        <v>1.8899880806415161</v>
      </c>
      <c r="AL8" s="399">
        <f t="shared" si="2"/>
        <v>13.54608560366562</v>
      </c>
      <c r="AM8" s="393">
        <f t="shared" si="2"/>
        <v>43.523448060739646</v>
      </c>
      <c r="AN8" s="396">
        <f t="shared" si="2"/>
        <v>145.43710297949829</v>
      </c>
      <c r="AO8" s="396">
        <f t="shared" si="2"/>
        <v>-2.3847739799999772</v>
      </c>
      <c r="AP8" s="393">
        <f t="shared" si="2"/>
        <v>0</v>
      </c>
      <c r="AQ8" s="400">
        <f t="shared" si="0"/>
        <v>14746.457103213368</v>
      </c>
      <c r="AR8" s="80"/>
      <c r="AS8" s="83"/>
    </row>
    <row r="9" spans="1:45" s="84" customFormat="1" ht="12.75" customHeight="1">
      <c r="A9" s="380" t="s">
        <v>237</v>
      </c>
      <c r="B9" s="381"/>
      <c r="C9" s="382">
        <f t="shared" ref="C9:AP9" si="3">SUM(C10:C14)</f>
        <v>489.13419536754503</v>
      </c>
      <c r="D9" s="387">
        <f t="shared" si="3"/>
        <v>489.13419536754503</v>
      </c>
      <c r="E9" s="384">
        <f t="shared" si="3"/>
        <v>0</v>
      </c>
      <c r="F9" s="401">
        <f t="shared" si="3"/>
        <v>0</v>
      </c>
      <c r="G9" s="401">
        <f t="shared" si="3"/>
        <v>0</v>
      </c>
      <c r="H9" s="385">
        <f t="shared" si="3"/>
        <v>541.02658367795425</v>
      </c>
      <c r="I9" s="387">
        <f t="shared" si="3"/>
        <v>541.02658367795425</v>
      </c>
      <c r="J9" s="386">
        <f t="shared" si="3"/>
        <v>0</v>
      </c>
      <c r="K9" s="384">
        <f t="shared" si="3"/>
        <v>0</v>
      </c>
      <c r="L9" s="385">
        <f t="shared" si="3"/>
        <v>3165.7216476484605</v>
      </c>
      <c r="M9" s="384">
        <f t="shared" si="3"/>
        <v>3092.2052611591994</v>
      </c>
      <c r="N9" s="384">
        <f t="shared" ref="N9" si="4">SUM(N10:N14)</f>
        <v>38.786602361842682</v>
      </c>
      <c r="O9" s="384">
        <f t="shared" si="3"/>
        <v>0</v>
      </c>
      <c r="P9" s="384">
        <f t="shared" si="3"/>
        <v>0</v>
      </c>
      <c r="Q9" s="384">
        <f t="shared" si="3"/>
        <v>0</v>
      </c>
      <c r="R9" s="384">
        <f t="shared" si="3"/>
        <v>0</v>
      </c>
      <c r="S9" s="384">
        <f t="shared" si="3"/>
        <v>25.868327226603597</v>
      </c>
      <c r="T9" s="384">
        <f t="shared" si="3"/>
        <v>0.63499472294399995</v>
      </c>
      <c r="U9" s="384">
        <f t="shared" si="3"/>
        <v>8.2264621778709284</v>
      </c>
      <c r="V9" s="384">
        <f t="shared" si="3"/>
        <v>0</v>
      </c>
      <c r="W9" s="401">
        <f t="shared" si="3"/>
        <v>0</v>
      </c>
      <c r="X9" s="401">
        <f t="shared" si="3"/>
        <v>0</v>
      </c>
      <c r="Y9" s="401">
        <f t="shared" si="3"/>
        <v>0</v>
      </c>
      <c r="Z9" s="384">
        <f t="shared" si="3"/>
        <v>0</v>
      </c>
      <c r="AA9" s="385">
        <f t="shared" si="3"/>
        <v>2501.2994242635782</v>
      </c>
      <c r="AB9" s="383">
        <f t="shared" si="3"/>
        <v>215.90352917717644</v>
      </c>
      <c r="AC9" s="402">
        <f t="shared" si="3"/>
        <v>0</v>
      </c>
      <c r="AD9" s="384">
        <f t="shared" si="3"/>
        <v>0</v>
      </c>
      <c r="AE9" s="384">
        <f t="shared" si="3"/>
        <v>76.028615684916531</v>
      </c>
      <c r="AF9" s="384">
        <f t="shared" ref="AF9" si="5">SUM(AF10:AF14)</f>
        <v>99.30702317107577</v>
      </c>
      <c r="AG9" s="384">
        <f t="shared" si="3"/>
        <v>33.531818868055431</v>
      </c>
      <c r="AH9" s="384">
        <f t="shared" si="3"/>
        <v>7.0360714531287174</v>
      </c>
      <c r="AI9" s="384">
        <f t="shared" si="3"/>
        <v>0</v>
      </c>
      <c r="AJ9" s="384">
        <f t="shared" ref="AJ9" si="6">SUM(AJ10:AJ14)</f>
        <v>0</v>
      </c>
      <c r="AK9" s="387">
        <f t="shared" si="3"/>
        <v>0</v>
      </c>
      <c r="AL9" s="387">
        <f t="shared" ref="AL9" si="7">SUM(AL10:AL14)</f>
        <v>0</v>
      </c>
      <c r="AM9" s="401">
        <f t="shared" si="3"/>
        <v>0</v>
      </c>
      <c r="AN9" s="385">
        <f t="shared" si="3"/>
        <v>90.714163374524205</v>
      </c>
      <c r="AO9" s="385">
        <f t="shared" si="3"/>
        <v>54.38453208</v>
      </c>
      <c r="AP9" s="383">
        <f t="shared" si="3"/>
        <v>0</v>
      </c>
      <c r="AQ9" s="403">
        <f t="shared" si="0"/>
        <v>7058.184075589239</v>
      </c>
      <c r="AR9" s="80"/>
      <c r="AS9" s="83"/>
    </row>
    <row r="10" spans="1:45" ht="12.75" customHeight="1">
      <c r="A10" s="404" t="s">
        <v>609</v>
      </c>
      <c r="B10" s="405"/>
      <c r="C10" s="406">
        <f>SUM(D10:G10)</f>
        <v>489.13419536754503</v>
      </c>
      <c r="D10" s="407">
        <v>489.13419536754503</v>
      </c>
      <c r="E10" s="408"/>
      <c r="F10" s="409"/>
      <c r="G10" s="409"/>
      <c r="H10" s="410">
        <f>SUM(I10:K10)</f>
        <v>467.10845991760607</v>
      </c>
      <c r="I10" s="407">
        <v>467.10845991760607</v>
      </c>
      <c r="J10" s="411">
        <v>0</v>
      </c>
      <c r="K10" s="408"/>
      <c r="L10" s="410">
        <f>SUM(M10:Z10)</f>
        <v>34.094789404474525</v>
      </c>
      <c r="M10" s="408"/>
      <c r="N10" s="408"/>
      <c r="O10" s="408"/>
      <c r="P10" s="408"/>
      <c r="Q10" s="408"/>
      <c r="R10" s="408"/>
      <c r="S10" s="408">
        <v>25.868327226603597</v>
      </c>
      <c r="T10" s="408"/>
      <c r="U10" s="408">
        <v>8.2264621778709284</v>
      </c>
      <c r="V10" s="408"/>
      <c r="W10" s="409"/>
      <c r="X10" s="409"/>
      <c r="Y10" s="409"/>
      <c r="Z10" s="408"/>
      <c r="AA10" s="410">
        <v>2187.6033883210698</v>
      </c>
      <c r="AB10" s="412">
        <f>SUM(AC10:AM10)</f>
        <v>205.30590173319058</v>
      </c>
      <c r="AC10" s="413"/>
      <c r="AD10" s="408"/>
      <c r="AE10" s="408">
        <v>72.467059694059387</v>
      </c>
      <c r="AF10" s="408">
        <v>99.30702317107577</v>
      </c>
      <c r="AG10" s="408">
        <v>33.531818868055431</v>
      </c>
      <c r="AH10" s="408"/>
      <c r="AI10" s="408"/>
      <c r="AJ10" s="408"/>
      <c r="AK10" s="407"/>
      <c r="AL10" s="407"/>
      <c r="AM10" s="409"/>
      <c r="AN10" s="414">
        <v>90.714163374524205</v>
      </c>
      <c r="AO10" s="410"/>
      <c r="AP10" s="412"/>
      <c r="AQ10" s="415">
        <f t="shared" si="0"/>
        <v>3473.9608981184101</v>
      </c>
    </row>
    <row r="11" spans="1:45" ht="12.75" customHeight="1">
      <c r="A11" s="353" t="s">
        <v>610</v>
      </c>
      <c r="B11" s="354"/>
      <c r="C11" s="355">
        <f>SUM(D11:G11)</f>
        <v>0</v>
      </c>
      <c r="D11" s="360">
        <v>0</v>
      </c>
      <c r="E11" s="362"/>
      <c r="F11" s="358"/>
      <c r="G11" s="358"/>
      <c r="H11" s="359">
        <f>SUM(I11:K11)</f>
        <v>5.8425469182429177</v>
      </c>
      <c r="I11" s="360">
        <v>5.8425469182429177</v>
      </c>
      <c r="J11" s="361"/>
      <c r="K11" s="362"/>
      <c r="L11" s="359">
        <f>SUM(M11:Z11)</f>
        <v>0.63499472294399995</v>
      </c>
      <c r="M11" s="362"/>
      <c r="N11" s="416"/>
      <c r="O11" s="416">
        <v>0</v>
      </c>
      <c r="P11" s="362"/>
      <c r="Q11" s="362"/>
      <c r="R11" s="362"/>
      <c r="S11" s="362">
        <v>0</v>
      </c>
      <c r="T11" s="362">
        <v>0.63499472294399995</v>
      </c>
      <c r="U11" s="362">
        <v>0</v>
      </c>
      <c r="V11" s="362"/>
      <c r="W11" s="358"/>
      <c r="X11" s="358"/>
      <c r="Y11" s="358"/>
      <c r="Z11" s="362"/>
      <c r="AA11" s="359">
        <v>272.96145103491432</v>
      </c>
      <c r="AB11" s="363">
        <f>SUM(AC11:AM11)</f>
        <v>10.597627443985861</v>
      </c>
      <c r="AC11" s="364"/>
      <c r="AD11" s="362"/>
      <c r="AE11" s="362">
        <v>3.5615559908571428</v>
      </c>
      <c r="AF11" s="362"/>
      <c r="AG11" s="362"/>
      <c r="AH11" s="362">
        <v>7.0360714531287174</v>
      </c>
      <c r="AI11" s="362"/>
      <c r="AJ11" s="362"/>
      <c r="AK11" s="360"/>
      <c r="AL11" s="360"/>
      <c r="AM11" s="358"/>
      <c r="AN11" s="365"/>
      <c r="AO11" s="365"/>
      <c r="AP11" s="363"/>
      <c r="AQ11" s="366">
        <f t="shared" si="0"/>
        <v>290.03662012008709</v>
      </c>
    </row>
    <row r="12" spans="1:45" ht="12.75" customHeight="1">
      <c r="A12" s="353" t="s">
        <v>611</v>
      </c>
      <c r="B12" s="354"/>
      <c r="C12" s="355"/>
      <c r="D12" s="360"/>
      <c r="E12" s="362"/>
      <c r="F12" s="358"/>
      <c r="G12" s="358"/>
      <c r="H12" s="359"/>
      <c r="I12" s="360"/>
      <c r="J12" s="361"/>
      <c r="K12" s="362"/>
      <c r="L12" s="359"/>
      <c r="M12" s="362"/>
      <c r="N12" s="416"/>
      <c r="O12" s="416"/>
      <c r="P12" s="362"/>
      <c r="Q12" s="362"/>
      <c r="R12" s="362"/>
      <c r="S12" s="362"/>
      <c r="T12" s="362"/>
      <c r="U12" s="362"/>
      <c r="V12" s="362"/>
      <c r="W12" s="358"/>
      <c r="X12" s="358"/>
      <c r="Y12" s="358"/>
      <c r="Z12" s="362"/>
      <c r="AA12" s="359"/>
      <c r="AB12" s="363"/>
      <c r="AC12" s="364"/>
      <c r="AD12" s="362"/>
      <c r="AE12" s="362"/>
      <c r="AF12" s="362"/>
      <c r="AG12" s="362"/>
      <c r="AH12" s="362"/>
      <c r="AI12" s="362"/>
      <c r="AJ12" s="362"/>
      <c r="AK12" s="360"/>
      <c r="AL12" s="360"/>
      <c r="AM12" s="358"/>
      <c r="AN12" s="365"/>
      <c r="AO12" s="365">
        <v>42.942060079999997</v>
      </c>
      <c r="AP12" s="363"/>
      <c r="AQ12" s="366">
        <f t="shared" si="0"/>
        <v>42.942060079999997</v>
      </c>
    </row>
    <row r="13" spans="1:45" ht="12.75" customHeight="1">
      <c r="A13" s="353" t="s">
        <v>612</v>
      </c>
      <c r="B13" s="354"/>
      <c r="C13" s="355">
        <f>SUM(D13:G13)</f>
        <v>0</v>
      </c>
      <c r="D13" s="360"/>
      <c r="E13" s="358"/>
      <c r="F13" s="358"/>
      <c r="G13" s="358"/>
      <c r="H13" s="359">
        <f>SUM(I13:K13)</f>
        <v>68.075576842105264</v>
      </c>
      <c r="I13" s="360">
        <v>68.075576842105264</v>
      </c>
      <c r="J13" s="361"/>
      <c r="K13" s="362"/>
      <c r="L13" s="359">
        <f>SUM(M13:Z13)</f>
        <v>0</v>
      </c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58"/>
      <c r="X13" s="358"/>
      <c r="Y13" s="358"/>
      <c r="Z13" s="362"/>
      <c r="AA13" s="359"/>
      <c r="AB13" s="363">
        <f>SUM(AC13:AM13)</f>
        <v>0</v>
      </c>
      <c r="AC13" s="364"/>
      <c r="AD13" s="362"/>
      <c r="AE13" s="362"/>
      <c r="AF13" s="362"/>
      <c r="AG13" s="362"/>
      <c r="AH13" s="362"/>
      <c r="AI13" s="362"/>
      <c r="AJ13" s="362"/>
      <c r="AK13" s="360"/>
      <c r="AL13" s="360"/>
      <c r="AM13" s="358"/>
      <c r="AN13" s="365"/>
      <c r="AO13" s="365"/>
      <c r="AP13" s="363"/>
      <c r="AQ13" s="366">
        <f t="shared" si="0"/>
        <v>68.075576842105264</v>
      </c>
    </row>
    <row r="14" spans="1:45" ht="12.75" customHeight="1">
      <c r="A14" s="417" t="s">
        <v>613</v>
      </c>
      <c r="B14" s="418"/>
      <c r="C14" s="419">
        <f>SUM(D14:G14)</f>
        <v>0</v>
      </c>
      <c r="D14" s="420"/>
      <c r="E14" s="421"/>
      <c r="F14" s="422"/>
      <c r="G14" s="422"/>
      <c r="H14" s="423">
        <f>SUM(I14:K14)</f>
        <v>0</v>
      </c>
      <c r="I14" s="420"/>
      <c r="J14" s="424"/>
      <c r="K14" s="421"/>
      <c r="L14" s="423">
        <f>SUM(M14:Z14)</f>
        <v>3130.991863521042</v>
      </c>
      <c r="M14" s="421">
        <v>3092.2052611591994</v>
      </c>
      <c r="N14" s="421">
        <v>38.786602361842682</v>
      </c>
      <c r="O14" s="421"/>
      <c r="P14" s="421"/>
      <c r="Q14" s="421"/>
      <c r="R14" s="421"/>
      <c r="S14" s="421"/>
      <c r="T14" s="421"/>
      <c r="U14" s="421"/>
      <c r="V14" s="421"/>
      <c r="W14" s="422"/>
      <c r="X14" s="422"/>
      <c r="Y14" s="422"/>
      <c r="Z14" s="421"/>
      <c r="AA14" s="423">
        <v>40.734584907594211</v>
      </c>
      <c r="AB14" s="425">
        <f>SUM(AC14:AM14)</f>
        <v>0</v>
      </c>
      <c r="AC14" s="426"/>
      <c r="AD14" s="421"/>
      <c r="AE14" s="421"/>
      <c r="AF14" s="421"/>
      <c r="AG14" s="421"/>
      <c r="AH14" s="421"/>
      <c r="AI14" s="421"/>
      <c r="AJ14" s="421"/>
      <c r="AK14" s="420"/>
      <c r="AL14" s="420"/>
      <c r="AM14" s="422"/>
      <c r="AN14" s="427"/>
      <c r="AO14" s="427">
        <v>11.442471999999999</v>
      </c>
      <c r="AP14" s="425"/>
      <c r="AQ14" s="428">
        <f t="shared" si="0"/>
        <v>3183.1689204286363</v>
      </c>
    </row>
    <row r="15" spans="1:45" s="84" customFormat="1" ht="12.75" customHeight="1">
      <c r="A15" s="429" t="s">
        <v>238</v>
      </c>
      <c r="B15" s="430"/>
      <c r="C15" s="431">
        <f t="shared" ref="C15:AP15" si="8">SUM(C16:C20)</f>
        <v>0</v>
      </c>
      <c r="D15" s="432">
        <f t="shared" si="8"/>
        <v>0</v>
      </c>
      <c r="E15" s="433">
        <f t="shared" si="8"/>
        <v>0</v>
      </c>
      <c r="F15" s="434">
        <f t="shared" si="8"/>
        <v>0</v>
      </c>
      <c r="G15" s="434">
        <f t="shared" si="8"/>
        <v>0</v>
      </c>
      <c r="H15" s="435">
        <f t="shared" si="8"/>
        <v>64.671797999999995</v>
      </c>
      <c r="I15" s="432">
        <f t="shared" si="8"/>
        <v>0</v>
      </c>
      <c r="J15" s="436">
        <f t="shared" si="8"/>
        <v>0</v>
      </c>
      <c r="K15" s="433">
        <f t="shared" si="8"/>
        <v>64.671797999999995</v>
      </c>
      <c r="L15" s="435">
        <f t="shared" si="8"/>
        <v>3166.7858692089685</v>
      </c>
      <c r="M15" s="433">
        <f t="shared" si="8"/>
        <v>0</v>
      </c>
      <c r="N15" s="433">
        <f t="shared" si="8"/>
        <v>0</v>
      </c>
      <c r="O15" s="433">
        <f t="shared" si="8"/>
        <v>90.017983923640699</v>
      </c>
      <c r="P15" s="433">
        <f t="shared" si="8"/>
        <v>640.53679657777786</v>
      </c>
      <c r="Q15" s="433">
        <f t="shared" si="8"/>
        <v>226.77459106847999</v>
      </c>
      <c r="R15" s="433">
        <f t="shared" si="8"/>
        <v>0</v>
      </c>
      <c r="S15" s="433">
        <f t="shared" si="8"/>
        <v>960.95017928079096</v>
      </c>
      <c r="T15" s="433">
        <f t="shared" si="8"/>
        <v>64.797462901984332</v>
      </c>
      <c r="U15" s="433">
        <f t="shared" si="8"/>
        <v>1146.9502117491124</v>
      </c>
      <c r="V15" s="433">
        <f t="shared" si="8"/>
        <v>0</v>
      </c>
      <c r="W15" s="434">
        <f t="shared" si="8"/>
        <v>36.758643707182323</v>
      </c>
      <c r="X15" s="434">
        <f t="shared" si="8"/>
        <v>0</v>
      </c>
      <c r="Y15" s="434">
        <f t="shared" si="8"/>
        <v>0</v>
      </c>
      <c r="Z15" s="433">
        <f t="shared" si="8"/>
        <v>0</v>
      </c>
      <c r="AA15" s="435">
        <f t="shared" si="8"/>
        <v>0</v>
      </c>
      <c r="AB15" s="437">
        <f t="shared" si="8"/>
        <v>0</v>
      </c>
      <c r="AC15" s="438">
        <f t="shared" si="8"/>
        <v>0</v>
      </c>
      <c r="AD15" s="433">
        <f t="shared" si="8"/>
        <v>0</v>
      </c>
      <c r="AE15" s="433">
        <f t="shared" si="8"/>
        <v>0</v>
      </c>
      <c r="AF15" s="433">
        <f t="shared" si="8"/>
        <v>0</v>
      </c>
      <c r="AG15" s="439">
        <f t="shared" si="8"/>
        <v>0</v>
      </c>
      <c r="AH15" s="439">
        <f t="shared" si="8"/>
        <v>0</v>
      </c>
      <c r="AI15" s="439">
        <f t="shared" si="8"/>
        <v>0</v>
      </c>
      <c r="AJ15" s="439">
        <f t="shared" si="8"/>
        <v>0</v>
      </c>
      <c r="AK15" s="432">
        <f t="shared" si="8"/>
        <v>0</v>
      </c>
      <c r="AL15" s="432">
        <f t="shared" si="8"/>
        <v>0</v>
      </c>
      <c r="AM15" s="434">
        <f t="shared" si="8"/>
        <v>0</v>
      </c>
      <c r="AN15" s="435">
        <f t="shared" si="8"/>
        <v>0</v>
      </c>
      <c r="AO15" s="435">
        <f t="shared" si="8"/>
        <v>1873.361490524092</v>
      </c>
      <c r="AP15" s="437">
        <f t="shared" si="8"/>
        <v>0</v>
      </c>
      <c r="AQ15" s="440">
        <f t="shared" si="0"/>
        <v>5104.8191577330599</v>
      </c>
      <c r="AR15" s="80"/>
      <c r="AS15" s="83"/>
    </row>
    <row r="16" spans="1:45" ht="12.75" customHeight="1">
      <c r="A16" s="404" t="s">
        <v>614</v>
      </c>
      <c r="B16" s="405"/>
      <c r="C16" s="406">
        <f>SUM(D16:G16)</f>
        <v>0</v>
      </c>
      <c r="D16" s="407"/>
      <c r="E16" s="408"/>
      <c r="F16" s="409"/>
      <c r="G16" s="409"/>
      <c r="H16" s="410">
        <f>SUM(I16:K16)</f>
        <v>0</v>
      </c>
      <c r="I16" s="407"/>
      <c r="J16" s="408"/>
      <c r="K16" s="408"/>
      <c r="L16" s="410">
        <f>SUM(M16:Z16)</f>
        <v>0</v>
      </c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9"/>
      <c r="X16" s="409"/>
      <c r="Y16" s="409"/>
      <c r="Z16" s="408"/>
      <c r="AA16" s="410"/>
      <c r="AB16" s="412">
        <f>SUM(AC16:AL16)</f>
        <v>0</v>
      </c>
      <c r="AC16" s="413"/>
      <c r="AD16" s="408"/>
      <c r="AE16" s="408"/>
      <c r="AF16" s="408"/>
      <c r="AG16" s="416"/>
      <c r="AH16" s="416"/>
      <c r="AI16" s="416"/>
      <c r="AJ16" s="416"/>
      <c r="AK16" s="407"/>
      <c r="AL16" s="407"/>
      <c r="AM16" s="409"/>
      <c r="AN16" s="414"/>
      <c r="AO16" s="414">
        <v>1667.7865923774164</v>
      </c>
      <c r="AP16" s="412"/>
      <c r="AQ16" s="441">
        <f>C16+H16+L16+AA16+AO16+AP16</f>
        <v>1667.7865923774164</v>
      </c>
    </row>
    <row r="17" spans="1:45" ht="12.75" customHeight="1">
      <c r="A17" s="353" t="s">
        <v>615</v>
      </c>
      <c r="B17" s="354"/>
      <c r="C17" s="355">
        <f>SUM(D17:G17)</f>
        <v>0</v>
      </c>
      <c r="D17" s="360"/>
      <c r="E17" s="362"/>
      <c r="F17" s="358"/>
      <c r="G17" s="358"/>
      <c r="H17" s="359">
        <f>SUM(I17:K17)</f>
        <v>0</v>
      </c>
      <c r="I17" s="360"/>
      <c r="J17" s="362"/>
      <c r="K17" s="362"/>
      <c r="L17" s="359">
        <f>SUM(M17:Z17)</f>
        <v>0</v>
      </c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58"/>
      <c r="X17" s="358"/>
      <c r="Y17" s="358"/>
      <c r="Z17" s="362"/>
      <c r="AA17" s="359"/>
      <c r="AB17" s="363">
        <f>SUM(AC17:AL17)</f>
        <v>0</v>
      </c>
      <c r="AC17" s="364"/>
      <c r="AD17" s="362"/>
      <c r="AE17" s="362"/>
      <c r="AF17" s="362"/>
      <c r="AG17" s="362"/>
      <c r="AH17" s="362"/>
      <c r="AI17" s="362"/>
      <c r="AJ17" s="362"/>
      <c r="AK17" s="360"/>
      <c r="AL17" s="360"/>
      <c r="AM17" s="358"/>
      <c r="AN17" s="365"/>
      <c r="AO17" s="442">
        <v>185.14395873624346</v>
      </c>
      <c r="AP17" s="363"/>
      <c r="AQ17" s="366">
        <f>C17+H17+L17+AA17+AO17+AP17</f>
        <v>185.14395873624346</v>
      </c>
    </row>
    <row r="18" spans="1:45" ht="12.75" customHeight="1">
      <c r="A18" s="353" t="s">
        <v>616</v>
      </c>
      <c r="B18" s="354"/>
      <c r="C18" s="355"/>
      <c r="D18" s="360"/>
      <c r="E18" s="362"/>
      <c r="F18" s="358"/>
      <c r="G18" s="358"/>
      <c r="H18" s="359"/>
      <c r="I18" s="360"/>
      <c r="J18" s="362"/>
      <c r="K18" s="362"/>
      <c r="L18" s="359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58"/>
      <c r="X18" s="358"/>
      <c r="Y18" s="358"/>
      <c r="Z18" s="362"/>
      <c r="AA18" s="359"/>
      <c r="AB18" s="363"/>
      <c r="AC18" s="364"/>
      <c r="AD18" s="362"/>
      <c r="AE18" s="362"/>
      <c r="AF18" s="362"/>
      <c r="AG18" s="362"/>
      <c r="AH18" s="362"/>
      <c r="AI18" s="362"/>
      <c r="AJ18" s="362"/>
      <c r="AK18" s="360"/>
      <c r="AL18" s="360"/>
      <c r="AM18" s="358"/>
      <c r="AN18" s="365"/>
      <c r="AO18" s="365">
        <v>20.430939410432</v>
      </c>
      <c r="AP18" s="363"/>
      <c r="AQ18" s="366">
        <f t="shared" si="0"/>
        <v>20.430939410432</v>
      </c>
    </row>
    <row r="19" spans="1:45" ht="12.75" customHeight="1">
      <c r="A19" s="353" t="s">
        <v>617</v>
      </c>
      <c r="B19" s="354"/>
      <c r="C19" s="355"/>
      <c r="D19" s="80"/>
      <c r="E19" s="362"/>
      <c r="F19" s="358"/>
      <c r="G19" s="358"/>
      <c r="H19" s="359">
        <f>SUM(I19:K19)</f>
        <v>64.671797999999995</v>
      </c>
      <c r="I19" s="360"/>
      <c r="J19" s="362"/>
      <c r="K19" s="362">
        <v>64.671797999999995</v>
      </c>
      <c r="L19" s="359">
        <f>SUM(M19:Z19)</f>
        <v>0</v>
      </c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58"/>
      <c r="X19" s="358"/>
      <c r="Y19" s="358"/>
      <c r="Z19" s="362"/>
      <c r="AA19" s="359"/>
      <c r="AB19" s="363">
        <f>SUM(AC19:AL19)</f>
        <v>0</v>
      </c>
      <c r="AC19" s="364"/>
      <c r="AD19" s="362"/>
      <c r="AE19" s="362"/>
      <c r="AF19" s="362"/>
      <c r="AG19" s="362"/>
      <c r="AH19" s="362"/>
      <c r="AI19" s="362"/>
      <c r="AJ19" s="362"/>
      <c r="AK19" s="360"/>
      <c r="AL19" s="360"/>
      <c r="AM19" s="358"/>
      <c r="AN19" s="365"/>
      <c r="AO19" s="365"/>
      <c r="AP19" s="363"/>
      <c r="AQ19" s="366">
        <f t="shared" si="0"/>
        <v>64.671797999999995</v>
      </c>
    </row>
    <row r="20" spans="1:45" ht="12.75" customHeight="1">
      <c r="A20" s="417" t="s">
        <v>618</v>
      </c>
      <c r="B20" s="418"/>
      <c r="C20" s="419"/>
      <c r="D20" s="420"/>
      <c r="E20" s="421"/>
      <c r="F20" s="422"/>
      <c r="G20" s="422"/>
      <c r="H20" s="423">
        <f>SUM(I20:K20)</f>
        <v>0</v>
      </c>
      <c r="I20" s="420"/>
      <c r="J20" s="421"/>
      <c r="K20" s="421"/>
      <c r="L20" s="423">
        <f>SUM(M20:Z20)</f>
        <v>3166.7858692089685</v>
      </c>
      <c r="M20" s="421"/>
      <c r="N20" s="421"/>
      <c r="O20" s="421">
        <v>90.017983923640699</v>
      </c>
      <c r="P20" s="421">
        <v>640.53679657777786</v>
      </c>
      <c r="Q20" s="421">
        <v>226.77459106847999</v>
      </c>
      <c r="R20" s="421">
        <v>0</v>
      </c>
      <c r="S20" s="421">
        <v>960.95017928079096</v>
      </c>
      <c r="T20" s="421">
        <v>64.797462901984332</v>
      </c>
      <c r="U20" s="421">
        <v>1146.9502117491124</v>
      </c>
      <c r="V20" s="421"/>
      <c r="W20" s="422">
        <v>36.758643707182323</v>
      </c>
      <c r="X20" s="422"/>
      <c r="Y20" s="422"/>
      <c r="Z20" s="421"/>
      <c r="AA20" s="423"/>
      <c r="AB20" s="425">
        <f>SUM(AC20:AL20)</f>
        <v>0</v>
      </c>
      <c r="AC20" s="426"/>
      <c r="AD20" s="421"/>
      <c r="AE20" s="421"/>
      <c r="AF20" s="421"/>
      <c r="AG20" s="421"/>
      <c r="AH20" s="421"/>
      <c r="AI20" s="421"/>
      <c r="AJ20" s="421"/>
      <c r="AK20" s="420"/>
      <c r="AL20" s="420"/>
      <c r="AM20" s="422"/>
      <c r="AN20" s="427"/>
      <c r="AO20" s="427"/>
      <c r="AP20" s="425"/>
      <c r="AQ20" s="428">
        <f t="shared" si="0"/>
        <v>3166.7858692089685</v>
      </c>
    </row>
    <row r="21" spans="1:45" ht="12.75" customHeight="1">
      <c r="A21" s="443" t="s">
        <v>239</v>
      </c>
      <c r="B21" s="444"/>
      <c r="C21" s="445">
        <f>SUM(C22:C24)</f>
        <v>22.240061570656763</v>
      </c>
      <c r="D21" s="446">
        <f>SUM(D22:D24)</f>
        <v>-17.141361188350004</v>
      </c>
      <c r="E21" s="447">
        <f>SUM(E22:E24)</f>
        <v>39.381422759006767</v>
      </c>
      <c r="F21" s="448">
        <f>SUM(F22:F24)</f>
        <v>0</v>
      </c>
      <c r="G21" s="448">
        <f>SUM(G22:G24)</f>
        <v>0</v>
      </c>
      <c r="H21" s="449">
        <f>SUM(I21:K21)</f>
        <v>0</v>
      </c>
      <c r="I21" s="446">
        <f>SUM(I22:I24)</f>
        <v>0</v>
      </c>
      <c r="J21" s="447">
        <f>SUM(J22:J24)</f>
        <v>0</v>
      </c>
      <c r="K21" s="447">
        <f>SUM(K22:K24)</f>
        <v>0</v>
      </c>
      <c r="L21" s="449">
        <f>SUM(M21:Z21)</f>
        <v>-24.684016341344112</v>
      </c>
      <c r="M21" s="447">
        <f t="shared" ref="M21:AQ21" si="9">SUM(M22:M24)</f>
        <v>0</v>
      </c>
      <c r="N21" s="447">
        <f t="shared" si="9"/>
        <v>30.880435114089789</v>
      </c>
      <c r="O21" s="447">
        <f t="shared" si="9"/>
        <v>0</v>
      </c>
      <c r="P21" s="447">
        <f t="shared" si="9"/>
        <v>-31.331710700000009</v>
      </c>
      <c r="Q21" s="447">
        <f t="shared" si="9"/>
        <v>361.91080481920005</v>
      </c>
      <c r="R21" s="447">
        <f t="shared" si="9"/>
        <v>-361.12225342559998</v>
      </c>
      <c r="S21" s="447">
        <f t="shared" si="9"/>
        <v>-0.17168420677966101</v>
      </c>
      <c r="T21" s="447">
        <f t="shared" si="9"/>
        <v>0</v>
      </c>
      <c r="U21" s="447">
        <f t="shared" si="9"/>
        <v>-2.6095463715975598</v>
      </c>
      <c r="V21" s="447">
        <f t="shared" si="9"/>
        <v>-22.240061570656767</v>
      </c>
      <c r="W21" s="448">
        <f t="shared" si="9"/>
        <v>0</v>
      </c>
      <c r="X21" s="448">
        <f t="shared" si="9"/>
        <v>0</v>
      </c>
      <c r="Y21" s="448">
        <f t="shared" si="9"/>
        <v>0</v>
      </c>
      <c r="Z21" s="447">
        <f t="shared" si="9"/>
        <v>0</v>
      </c>
      <c r="AA21" s="449">
        <f t="shared" si="9"/>
        <v>0</v>
      </c>
      <c r="AB21" s="450">
        <f t="shared" si="9"/>
        <v>-804.60161988393759</v>
      </c>
      <c r="AC21" s="451">
        <f t="shared" si="9"/>
        <v>-59.691708987970003</v>
      </c>
      <c r="AD21" s="447">
        <f t="shared" si="9"/>
        <v>-743.01992281532614</v>
      </c>
      <c r="AE21" s="447">
        <f t="shared" si="9"/>
        <v>0</v>
      </c>
      <c r="AF21" s="447">
        <f t="shared" si="9"/>
        <v>0</v>
      </c>
      <c r="AG21" s="452">
        <f t="shared" si="9"/>
        <v>0</v>
      </c>
      <c r="AH21" s="452">
        <f t="shared" si="9"/>
        <v>0</v>
      </c>
      <c r="AI21" s="452">
        <f t="shared" si="9"/>
        <v>0</v>
      </c>
      <c r="AJ21" s="452">
        <f t="shared" si="9"/>
        <v>0</v>
      </c>
      <c r="AK21" s="446">
        <f t="shared" si="9"/>
        <v>-1.8899880806415161</v>
      </c>
      <c r="AL21" s="452">
        <f t="shared" si="9"/>
        <v>0</v>
      </c>
      <c r="AM21" s="448">
        <f t="shared" si="9"/>
        <v>0</v>
      </c>
      <c r="AN21" s="453">
        <f t="shared" si="9"/>
        <v>0</v>
      </c>
      <c r="AO21" s="449">
        <f t="shared" si="9"/>
        <v>804.60161988393759</v>
      </c>
      <c r="AP21" s="450">
        <f t="shared" si="9"/>
        <v>0</v>
      </c>
      <c r="AQ21" s="454">
        <f t="shared" si="9"/>
        <v>-2.4439547706873483</v>
      </c>
    </row>
    <row r="22" spans="1:45" ht="12.75" customHeight="1">
      <c r="A22" s="404" t="s">
        <v>619</v>
      </c>
      <c r="B22" s="405"/>
      <c r="C22" s="455"/>
      <c r="D22" s="456"/>
      <c r="E22" s="457"/>
      <c r="F22" s="409"/>
      <c r="G22" s="409"/>
      <c r="H22" s="410"/>
      <c r="I22" s="458"/>
      <c r="J22" s="408"/>
      <c r="K22" s="408"/>
      <c r="L22" s="410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9"/>
      <c r="X22" s="409"/>
      <c r="Y22" s="409"/>
      <c r="Z22" s="408"/>
      <c r="AA22" s="410"/>
      <c r="AB22" s="412">
        <f>SUM(AC22:AM22)</f>
        <v>-804.60161988393759</v>
      </c>
      <c r="AC22" s="413">
        <f>-AC2</f>
        <v>-59.691708987970003</v>
      </c>
      <c r="AD22" s="408">
        <f>-AD2</f>
        <v>-743.01992281532614</v>
      </c>
      <c r="AE22" s="408"/>
      <c r="AF22" s="408"/>
      <c r="AG22" s="416"/>
      <c r="AH22" s="416"/>
      <c r="AI22" s="416"/>
      <c r="AJ22" s="416"/>
      <c r="AK22" s="407">
        <v>-1.8899880806415161</v>
      </c>
      <c r="AL22" s="416"/>
      <c r="AM22" s="409"/>
      <c r="AN22" s="414"/>
      <c r="AO22" s="410">
        <f>-(C22+H22+L22+AA22+AB22)</f>
        <v>804.60161988393759</v>
      </c>
      <c r="AP22" s="412"/>
      <c r="AQ22" s="441">
        <f>C22+H22+L22+AA22+AB22+AN22+AO22+AP22</f>
        <v>0</v>
      </c>
    </row>
    <row r="23" spans="1:45" ht="12.75" customHeight="1">
      <c r="A23" s="459" t="s">
        <v>620</v>
      </c>
      <c r="B23" s="430"/>
      <c r="C23" s="460"/>
      <c r="D23" s="461"/>
      <c r="E23" s="433"/>
      <c r="F23" s="462"/>
      <c r="G23" s="462"/>
      <c r="H23" s="435"/>
      <c r="I23" s="463"/>
      <c r="J23" s="464"/>
      <c r="K23" s="464"/>
      <c r="L23" s="435"/>
      <c r="M23" s="464"/>
      <c r="N23" s="464"/>
      <c r="O23" s="464"/>
      <c r="P23" s="464"/>
      <c r="Q23" s="464"/>
      <c r="R23" s="464"/>
      <c r="S23" s="464"/>
      <c r="T23" s="464"/>
      <c r="U23" s="464"/>
      <c r="V23" s="464"/>
      <c r="W23" s="462"/>
      <c r="X23" s="462"/>
      <c r="Y23" s="462"/>
      <c r="Z23" s="464"/>
      <c r="AA23" s="435"/>
      <c r="AB23" s="437"/>
      <c r="AC23" s="465"/>
      <c r="AD23" s="464"/>
      <c r="AE23" s="464"/>
      <c r="AF23" s="464"/>
      <c r="AG23" s="464"/>
      <c r="AH23" s="464"/>
      <c r="AI23" s="464"/>
      <c r="AJ23" s="464"/>
      <c r="AK23" s="466"/>
      <c r="AL23" s="466"/>
      <c r="AM23" s="462"/>
      <c r="AN23" s="467"/>
      <c r="AO23" s="435"/>
      <c r="AP23" s="437"/>
      <c r="AQ23" s="468">
        <f>C23+H23+L23+AA23+AB23+AN23+AO23+AP23</f>
        <v>0</v>
      </c>
    </row>
    <row r="24" spans="1:45" ht="12.75" customHeight="1" thickBot="1">
      <c r="A24" s="368" t="s">
        <v>621</v>
      </c>
      <c r="B24" s="369"/>
      <c r="C24" s="469">
        <f>SUM(D24:G24)</f>
        <v>22.240061570656763</v>
      </c>
      <c r="D24" s="470">
        <v>-17.141361188350004</v>
      </c>
      <c r="E24" s="377">
        <f>-D24-V24</f>
        <v>39.381422759006767</v>
      </c>
      <c r="F24" s="371"/>
      <c r="G24" s="371"/>
      <c r="H24" s="372"/>
      <c r="I24" s="471"/>
      <c r="J24" s="377"/>
      <c r="K24" s="377"/>
      <c r="L24" s="372">
        <f>SUM(N24:Z24)</f>
        <v>-24.684016341344112</v>
      </c>
      <c r="M24" s="377"/>
      <c r="N24" s="377">
        <v>30.880435114089789</v>
      </c>
      <c r="O24" s="377"/>
      <c r="P24" s="377">
        <v>-31.331710700000009</v>
      </c>
      <c r="Q24" s="377">
        <v>361.91080481920005</v>
      </c>
      <c r="R24" s="377">
        <v>-361.12225342559998</v>
      </c>
      <c r="S24" s="377">
        <v>-0.17168420677966101</v>
      </c>
      <c r="T24" s="377"/>
      <c r="U24" s="377">
        <v>-2.6095463715975598</v>
      </c>
      <c r="V24" s="371">
        <v>-22.240061570656767</v>
      </c>
      <c r="W24" s="371">
        <v>0</v>
      </c>
      <c r="X24" s="371"/>
      <c r="Y24" s="371"/>
      <c r="Z24" s="377"/>
      <c r="AA24" s="372"/>
      <c r="AB24" s="372">
        <f>SUM(AC24:AM24)</f>
        <v>0</v>
      </c>
      <c r="AC24" s="376"/>
      <c r="AD24" s="377"/>
      <c r="AE24" s="377"/>
      <c r="AF24" s="377"/>
      <c r="AG24" s="377"/>
      <c r="AH24" s="377"/>
      <c r="AI24" s="377"/>
      <c r="AJ24" s="377"/>
      <c r="AK24" s="373"/>
      <c r="AL24" s="373"/>
      <c r="AM24" s="371"/>
      <c r="AN24" s="378"/>
      <c r="AO24" s="372"/>
      <c r="AP24" s="375"/>
      <c r="AQ24" s="379">
        <f>C24+H24+L24+AA24+AB24+AN24+AO24+AP24</f>
        <v>-2.4439547706873483</v>
      </c>
    </row>
    <row r="25" spans="1:45" ht="12.75" customHeight="1" thickBot="1">
      <c r="A25" s="429" t="s">
        <v>240</v>
      </c>
      <c r="B25" s="430"/>
      <c r="C25" s="431">
        <f>SUM(D25:G25)</f>
        <v>0</v>
      </c>
      <c r="D25" s="432"/>
      <c r="E25" s="433"/>
      <c r="F25" s="462"/>
      <c r="G25" s="462"/>
      <c r="H25" s="435">
        <f>SUM(I25:K25)</f>
        <v>10.28324833984202</v>
      </c>
      <c r="I25" s="462">
        <v>10.28324833984202</v>
      </c>
      <c r="J25" s="472"/>
      <c r="K25" s="464"/>
      <c r="L25" s="435">
        <f>SUM(O25:Z25)</f>
        <v>98.284657617035819</v>
      </c>
      <c r="M25" s="464"/>
      <c r="N25" s="464"/>
      <c r="O25" s="464">
        <v>95.274692021714102</v>
      </c>
      <c r="P25" s="464"/>
      <c r="Q25" s="464"/>
      <c r="R25" s="464"/>
      <c r="S25" s="464">
        <v>0</v>
      </c>
      <c r="T25" s="464">
        <v>4.1693256233877908E-3</v>
      </c>
      <c r="U25" s="464">
        <v>3.0057962696983291</v>
      </c>
      <c r="V25" s="464"/>
      <c r="W25" s="462"/>
      <c r="X25" s="462"/>
      <c r="Y25" s="462"/>
      <c r="Z25" s="464"/>
      <c r="AA25" s="435">
        <v>57.528599543766255</v>
      </c>
      <c r="AB25" s="437">
        <f>SUM(AC25:AI25)</f>
        <v>0</v>
      </c>
      <c r="AC25" s="438"/>
      <c r="AD25" s="464"/>
      <c r="AE25" s="464"/>
      <c r="AF25" s="464"/>
      <c r="AG25" s="464"/>
      <c r="AH25" s="464"/>
      <c r="AI25" s="464"/>
      <c r="AJ25" s="464"/>
      <c r="AK25" s="466"/>
      <c r="AL25" s="466"/>
      <c r="AM25" s="462"/>
      <c r="AN25" s="467"/>
      <c r="AO25" s="435">
        <v>259.46681438260055</v>
      </c>
      <c r="AP25" s="437"/>
      <c r="AQ25" s="468">
        <f>C25+H25+L25+AA25+AB25+AN25+AO25+AP25</f>
        <v>425.56331988324462</v>
      </c>
    </row>
    <row r="26" spans="1:45" s="84" customFormat="1" ht="12.75" customHeight="1" thickBot="1">
      <c r="A26" s="473" t="s">
        <v>241</v>
      </c>
      <c r="B26" s="474"/>
      <c r="C26" s="475">
        <f t="shared" ref="C26:AP26" si="10">C7-C9+C15+C21-C25</f>
        <v>320.15759843333262</v>
      </c>
      <c r="D26" s="476">
        <f t="shared" si="10"/>
        <v>221.42915574234439</v>
      </c>
      <c r="E26" s="477">
        <f t="shared" si="10"/>
        <v>86.198591658957852</v>
      </c>
      <c r="F26" s="477">
        <f t="shared" si="10"/>
        <v>0</v>
      </c>
      <c r="G26" s="477">
        <f t="shared" si="10"/>
        <v>12.529851032030438</v>
      </c>
      <c r="H26" s="478">
        <f t="shared" si="10"/>
        <v>199.31419506885081</v>
      </c>
      <c r="I26" s="476">
        <f t="shared" si="10"/>
        <v>0.37225106885087023</v>
      </c>
      <c r="J26" s="479">
        <f t="shared" si="10"/>
        <v>127.70399999999999</v>
      </c>
      <c r="K26" s="477">
        <f t="shared" si="10"/>
        <v>71.237943999999999</v>
      </c>
      <c r="L26" s="478">
        <f t="shared" si="10"/>
        <v>7278.2180951406654</v>
      </c>
      <c r="M26" s="477">
        <f t="shared" si="10"/>
        <v>0</v>
      </c>
      <c r="N26" s="477">
        <f t="shared" si="10"/>
        <v>-0.14794174855289199</v>
      </c>
      <c r="O26" s="477">
        <f t="shared" si="10"/>
        <v>-5.2567080980734033</v>
      </c>
      <c r="P26" s="477">
        <f t="shared" si="10"/>
        <v>799.22126723333315</v>
      </c>
      <c r="Q26" s="477">
        <f t="shared" si="10"/>
        <v>949.04247657856001</v>
      </c>
      <c r="R26" s="477">
        <f t="shared" si="10"/>
        <v>1106.9485985044798</v>
      </c>
      <c r="S26" s="477">
        <f t="shared" si="10"/>
        <v>39.03952078017609</v>
      </c>
      <c r="T26" s="477">
        <f t="shared" si="10"/>
        <v>187.88084937540125</v>
      </c>
      <c r="U26" s="477">
        <f t="shared" si="10"/>
        <v>3815.0626351280866</v>
      </c>
      <c r="V26" s="477">
        <f t="shared" si="10"/>
        <v>147.33759997605492</v>
      </c>
      <c r="W26" s="477">
        <f t="shared" si="10"/>
        <v>7.506512734116022</v>
      </c>
      <c r="X26" s="477">
        <f t="shared" si="10"/>
        <v>195.36275312176252</v>
      </c>
      <c r="Y26" s="477">
        <f t="shared" si="10"/>
        <v>1.2096467108549098</v>
      </c>
      <c r="Z26" s="477">
        <f t="shared" si="10"/>
        <v>35.010884844467988</v>
      </c>
      <c r="AA26" s="478">
        <f t="shared" si="10"/>
        <v>1921.4292269183238</v>
      </c>
      <c r="AB26" s="480">
        <f t="shared" si="10"/>
        <v>461.09915024876761</v>
      </c>
      <c r="AC26" s="402">
        <f t="shared" si="10"/>
        <v>0</v>
      </c>
      <c r="AD26" s="384">
        <f t="shared" si="10"/>
        <v>0</v>
      </c>
      <c r="AE26" s="384">
        <f t="shared" si="10"/>
        <v>197.01652611637599</v>
      </c>
      <c r="AF26" s="384">
        <f t="shared" si="10"/>
        <v>40.692904224132207</v>
      </c>
      <c r="AG26" s="384">
        <f t="shared" si="10"/>
        <v>0</v>
      </c>
      <c r="AH26" s="384">
        <f t="shared" si="10"/>
        <v>9.7770611234061491</v>
      </c>
      <c r="AI26" s="384">
        <f t="shared" si="10"/>
        <v>128.62672037577602</v>
      </c>
      <c r="AJ26" s="384">
        <f t="shared" si="10"/>
        <v>27.916404744672001</v>
      </c>
      <c r="AK26" s="387">
        <f t="shared" si="10"/>
        <v>0</v>
      </c>
      <c r="AL26" s="387">
        <f t="shared" si="10"/>
        <v>13.54608560366562</v>
      </c>
      <c r="AM26" s="481">
        <f t="shared" si="10"/>
        <v>43.523448060739646</v>
      </c>
      <c r="AN26" s="478">
        <f t="shared" si="10"/>
        <v>54.722939604974087</v>
      </c>
      <c r="AO26" s="478">
        <f t="shared" si="10"/>
        <v>2361.7269899654289</v>
      </c>
      <c r="AP26" s="480">
        <f t="shared" si="10"/>
        <v>0</v>
      </c>
      <c r="AQ26" s="482">
        <f>C26+H26+L26+AA26+AB26+AN26+AO26+AP26</f>
        <v>12596.668195380342</v>
      </c>
      <c r="AR26" s="80"/>
      <c r="AS26" s="83"/>
    </row>
    <row r="27" spans="1:45" s="84" customFormat="1" ht="12.75" customHeight="1">
      <c r="A27" s="380" t="s">
        <v>242</v>
      </c>
      <c r="B27" s="381"/>
      <c r="C27" s="382">
        <f t="shared" ref="C27:V27" si="11">C28</f>
        <v>0</v>
      </c>
      <c r="D27" s="387">
        <f t="shared" si="11"/>
        <v>0</v>
      </c>
      <c r="E27" s="384">
        <f t="shared" si="11"/>
        <v>0</v>
      </c>
      <c r="F27" s="401">
        <f t="shared" si="11"/>
        <v>0</v>
      </c>
      <c r="G27" s="401">
        <f t="shared" si="11"/>
        <v>0</v>
      </c>
      <c r="H27" s="385">
        <f t="shared" si="11"/>
        <v>0</v>
      </c>
      <c r="I27" s="387">
        <f t="shared" si="11"/>
        <v>0</v>
      </c>
      <c r="J27" s="386">
        <f t="shared" si="11"/>
        <v>0</v>
      </c>
      <c r="K27" s="384">
        <f t="shared" si="11"/>
        <v>0</v>
      </c>
      <c r="L27" s="385">
        <f t="shared" si="11"/>
        <v>231.58328467708543</v>
      </c>
      <c r="M27" s="384">
        <f t="shared" si="11"/>
        <v>0</v>
      </c>
      <c r="N27" s="384">
        <f t="shared" si="11"/>
        <v>0</v>
      </c>
      <c r="O27" s="384">
        <f t="shared" si="11"/>
        <v>0</v>
      </c>
      <c r="P27" s="384">
        <f t="shared" si="11"/>
        <v>0</v>
      </c>
      <c r="Q27" s="384">
        <f t="shared" si="11"/>
        <v>0</v>
      </c>
      <c r="R27" s="384">
        <f t="shared" si="11"/>
        <v>0</v>
      </c>
      <c r="S27" s="384">
        <f t="shared" si="11"/>
        <v>0</v>
      </c>
      <c r="T27" s="384">
        <f t="shared" si="11"/>
        <v>0</v>
      </c>
      <c r="U27" s="384">
        <f t="shared" si="11"/>
        <v>0</v>
      </c>
      <c r="V27" s="384">
        <f t="shared" si="11"/>
        <v>0</v>
      </c>
      <c r="W27" s="401"/>
      <c r="X27" s="401">
        <f t="shared" ref="X27:AQ27" si="12">X28</f>
        <v>195.36275312176252</v>
      </c>
      <c r="Y27" s="401">
        <f t="shared" si="12"/>
        <v>1.2096467108549098</v>
      </c>
      <c r="Z27" s="384">
        <f t="shared" si="12"/>
        <v>35.010884844467988</v>
      </c>
      <c r="AA27" s="385">
        <f t="shared" si="12"/>
        <v>0</v>
      </c>
      <c r="AB27" s="383">
        <f t="shared" si="12"/>
        <v>0</v>
      </c>
      <c r="AC27" s="402">
        <f t="shared" si="12"/>
        <v>0</v>
      </c>
      <c r="AD27" s="384">
        <f t="shared" si="12"/>
        <v>0</v>
      </c>
      <c r="AE27" s="384">
        <f t="shared" si="12"/>
        <v>0</v>
      </c>
      <c r="AF27" s="384">
        <f t="shared" si="12"/>
        <v>0</v>
      </c>
      <c r="AG27" s="384">
        <f t="shared" si="12"/>
        <v>0</v>
      </c>
      <c r="AH27" s="384">
        <f t="shared" si="12"/>
        <v>0</v>
      </c>
      <c r="AI27" s="384">
        <f t="shared" si="12"/>
        <v>0</v>
      </c>
      <c r="AJ27" s="384">
        <f t="shared" si="12"/>
        <v>0</v>
      </c>
      <c r="AK27" s="387">
        <f t="shared" si="12"/>
        <v>0</v>
      </c>
      <c r="AL27" s="387">
        <f t="shared" si="12"/>
        <v>0</v>
      </c>
      <c r="AM27" s="401">
        <f t="shared" si="12"/>
        <v>0</v>
      </c>
      <c r="AN27" s="385">
        <f t="shared" si="12"/>
        <v>0</v>
      </c>
      <c r="AO27" s="385">
        <f t="shared" si="12"/>
        <v>0</v>
      </c>
      <c r="AP27" s="383">
        <f t="shared" si="12"/>
        <v>0</v>
      </c>
      <c r="AQ27" s="389">
        <f t="shared" si="12"/>
        <v>231.58328467708543</v>
      </c>
      <c r="AR27" s="80"/>
      <c r="AS27" s="83"/>
    </row>
    <row r="28" spans="1:45" ht="12.75" customHeight="1" thickBot="1">
      <c r="A28" s="483" t="s">
        <v>243</v>
      </c>
      <c r="B28" s="484"/>
      <c r="C28" s="485">
        <f>SUM(D28:G28)</f>
        <v>0</v>
      </c>
      <c r="D28" s="446"/>
      <c r="E28" s="447"/>
      <c r="F28" s="448"/>
      <c r="G28" s="448"/>
      <c r="H28" s="453">
        <f>SUM(I28:K28)</f>
        <v>0</v>
      </c>
      <c r="I28" s="446"/>
      <c r="J28" s="486"/>
      <c r="K28" s="447"/>
      <c r="L28" s="453">
        <f>SUM(M28:Z28)</f>
        <v>231.58328467708543</v>
      </c>
      <c r="M28" s="447"/>
      <c r="N28" s="447"/>
      <c r="O28" s="447"/>
      <c r="P28" s="447"/>
      <c r="Q28" s="447"/>
      <c r="R28" s="447"/>
      <c r="S28" s="447"/>
      <c r="T28" s="447"/>
      <c r="U28" s="447"/>
      <c r="V28" s="447"/>
      <c r="W28" s="448"/>
      <c r="X28" s="448">
        <f>X26</f>
        <v>195.36275312176252</v>
      </c>
      <c r="Y28" s="448">
        <f>Y26</f>
        <v>1.2096467108549098</v>
      </c>
      <c r="Z28" s="447">
        <f>Z26</f>
        <v>35.010884844467988</v>
      </c>
      <c r="AA28" s="453">
        <v>0</v>
      </c>
      <c r="AB28" s="487">
        <f>SUM(AC28:AI28)</f>
        <v>0</v>
      </c>
      <c r="AC28" s="451"/>
      <c r="AD28" s="447"/>
      <c r="AE28" s="447"/>
      <c r="AF28" s="447"/>
      <c r="AG28" s="447"/>
      <c r="AH28" s="447"/>
      <c r="AI28" s="447"/>
      <c r="AJ28" s="447"/>
      <c r="AK28" s="446"/>
      <c r="AL28" s="446"/>
      <c r="AM28" s="448"/>
      <c r="AN28" s="453"/>
      <c r="AO28" s="453"/>
      <c r="AP28" s="487"/>
      <c r="AQ28" s="454">
        <f t="shared" ref="AQ28:AQ72" si="13">C28+H28+L28+AA28+AB28+AN28+AO28+AP28</f>
        <v>231.58328467708543</v>
      </c>
    </row>
    <row r="29" spans="1:45" s="84" customFormat="1" ht="12.75" customHeight="1" thickBot="1">
      <c r="A29" s="380" t="s">
        <v>244</v>
      </c>
      <c r="B29" s="381"/>
      <c r="C29" s="382">
        <f t="shared" ref="C29:AQ29" si="14">C30+C45+C56+C58+C65+C70+C71</f>
        <v>322.73713313616526</v>
      </c>
      <c r="D29" s="387">
        <f t="shared" si="14"/>
        <v>221.25198906014759</v>
      </c>
      <c r="E29" s="384">
        <f t="shared" si="14"/>
        <v>89.647280058277374</v>
      </c>
      <c r="F29" s="401">
        <f t="shared" si="14"/>
        <v>0</v>
      </c>
      <c r="G29" s="401">
        <f t="shared" si="14"/>
        <v>11.837385289740231</v>
      </c>
      <c r="H29" s="385">
        <f t="shared" si="14"/>
        <v>197.36847005356</v>
      </c>
      <c r="I29" s="387">
        <f t="shared" si="14"/>
        <v>0.82966372355999995</v>
      </c>
      <c r="J29" s="488">
        <f t="shared" si="14"/>
        <v>127.70399999999999</v>
      </c>
      <c r="K29" s="387">
        <f t="shared" si="14"/>
        <v>68.834806329999992</v>
      </c>
      <c r="L29" s="385">
        <f t="shared" si="14"/>
        <v>7044.2916862331467</v>
      </c>
      <c r="M29" s="384">
        <f t="shared" si="14"/>
        <v>0</v>
      </c>
      <c r="N29" s="384">
        <f t="shared" si="14"/>
        <v>0</v>
      </c>
      <c r="O29" s="384">
        <f t="shared" si="14"/>
        <v>0</v>
      </c>
      <c r="P29" s="384">
        <f t="shared" si="14"/>
        <v>824.24502392197087</v>
      </c>
      <c r="Q29" s="384">
        <f t="shared" si="14"/>
        <v>934.32541284991999</v>
      </c>
      <c r="R29" s="384">
        <f t="shared" si="14"/>
        <v>1102.8442060797599</v>
      </c>
      <c r="S29" s="384">
        <f t="shared" si="14"/>
        <v>31.039400915077643</v>
      </c>
      <c r="T29" s="384">
        <f t="shared" si="14"/>
        <v>181.32381570558746</v>
      </c>
      <c r="U29" s="384">
        <f t="shared" si="14"/>
        <v>3824.001555864289</v>
      </c>
      <c r="V29" s="384">
        <f t="shared" si="14"/>
        <v>146.51227089654276</v>
      </c>
      <c r="W29" s="401">
        <f t="shared" si="14"/>
        <v>0</v>
      </c>
      <c r="X29" s="401">
        <f t="shared" si="14"/>
        <v>0</v>
      </c>
      <c r="Y29" s="401">
        <f t="shared" si="14"/>
        <v>0</v>
      </c>
      <c r="Z29" s="387">
        <f t="shared" si="14"/>
        <v>0</v>
      </c>
      <c r="AA29" s="478">
        <f t="shared" si="14"/>
        <v>1961.7039372255224</v>
      </c>
      <c r="AB29" s="383">
        <f t="shared" si="14"/>
        <v>463.5152964293224</v>
      </c>
      <c r="AC29" s="402">
        <f t="shared" si="14"/>
        <v>0</v>
      </c>
      <c r="AD29" s="384">
        <f t="shared" si="14"/>
        <v>0</v>
      </c>
      <c r="AE29" s="384">
        <f t="shared" si="14"/>
        <v>201.73619537368276</v>
      </c>
      <c r="AF29" s="384">
        <f t="shared" si="14"/>
        <v>40.692904224132199</v>
      </c>
      <c r="AG29" s="384">
        <f t="shared" si="14"/>
        <v>0</v>
      </c>
      <c r="AH29" s="384">
        <f t="shared" si="14"/>
        <v>9.7770611234061491</v>
      </c>
      <c r="AI29" s="384">
        <f t="shared" si="14"/>
        <v>126.96834918892804</v>
      </c>
      <c r="AJ29" s="384">
        <f t="shared" si="14"/>
        <v>27.271252854767994</v>
      </c>
      <c r="AK29" s="383">
        <f t="shared" si="14"/>
        <v>0</v>
      </c>
      <c r="AL29" s="383">
        <f t="shared" si="14"/>
        <v>13.546085603665619</v>
      </c>
      <c r="AM29" s="383">
        <f t="shared" si="14"/>
        <v>43.523448060739653</v>
      </c>
      <c r="AN29" s="383">
        <f t="shared" si="14"/>
        <v>54.722939604974094</v>
      </c>
      <c r="AO29" s="385">
        <f t="shared" si="14"/>
        <v>2397.4208343089181</v>
      </c>
      <c r="AP29" s="383">
        <f t="shared" si="14"/>
        <v>0</v>
      </c>
      <c r="AQ29" s="482">
        <f t="shared" si="14"/>
        <v>12441.760296991612</v>
      </c>
      <c r="AR29" s="80"/>
      <c r="AS29" s="83"/>
    </row>
    <row r="30" spans="1:45" s="84" customFormat="1" ht="12.75" customHeight="1">
      <c r="A30" s="489" t="s">
        <v>245</v>
      </c>
      <c r="B30" s="490"/>
      <c r="C30" s="491">
        <f>SUM(C31:C44)</f>
        <v>105.42502802800003</v>
      </c>
      <c r="D30" s="492">
        <v>105.4245493</v>
      </c>
      <c r="E30" s="492">
        <v>0</v>
      </c>
      <c r="F30" s="493"/>
      <c r="G30" s="493"/>
      <c r="H30" s="494">
        <f>SUM(H31:H44)</f>
        <v>0.82966372355999995</v>
      </c>
      <c r="I30" s="495">
        <f t="shared" ref="I30:K30" si="15">SUM(I31:I44)</f>
        <v>0.82966372355999995</v>
      </c>
      <c r="J30" s="492">
        <f t="shared" si="15"/>
        <v>0</v>
      </c>
      <c r="K30" s="492">
        <f t="shared" si="15"/>
        <v>0</v>
      </c>
      <c r="L30" s="494">
        <f>SUM(L31:L44)</f>
        <v>333.21700779482637</v>
      </c>
      <c r="M30" s="492">
        <f>SUM(M31:M44)</f>
        <v>0</v>
      </c>
      <c r="N30" s="492">
        <f>SUM(N31:N44)</f>
        <v>0</v>
      </c>
      <c r="O30" s="492">
        <f>SUM(O31:O44)</f>
        <v>0</v>
      </c>
      <c r="P30" s="492">
        <f>SUM(P31:P44)</f>
        <v>0</v>
      </c>
      <c r="Q30" s="492">
        <v>5.8273117756492638</v>
      </c>
      <c r="R30" s="492">
        <f>SUM(R31:R44)</f>
        <v>0</v>
      </c>
      <c r="S30" s="492">
        <v>30.396553446461994</v>
      </c>
      <c r="T30" s="492">
        <v>55.10581048870722</v>
      </c>
      <c r="U30" s="492">
        <v>100.77893291075623</v>
      </c>
      <c r="V30" s="492">
        <v>141.10839917325163</v>
      </c>
      <c r="W30" s="492">
        <f>SUM(W31:W44)</f>
        <v>0</v>
      </c>
      <c r="X30" s="492">
        <f>SUM(X31:X44)</f>
        <v>0</v>
      </c>
      <c r="Y30" s="492">
        <f>SUM(Y31:Y44)</f>
        <v>0</v>
      </c>
      <c r="Z30" s="492">
        <f>SUM(Z31:Z44)</f>
        <v>0</v>
      </c>
      <c r="AA30" s="494">
        <v>1006.4294471460221</v>
      </c>
      <c r="AB30" s="496">
        <f t="shared" ref="AB30:AN30" si="16">SUM(AB31:AB44)</f>
        <v>198.81521058080656</v>
      </c>
      <c r="AC30" s="497">
        <f t="shared" si="16"/>
        <v>0</v>
      </c>
      <c r="AD30" s="492">
        <f t="shared" si="16"/>
        <v>0</v>
      </c>
      <c r="AE30" s="492">
        <f t="shared" si="16"/>
        <v>153.96698996806381</v>
      </c>
      <c r="AF30" s="492">
        <f t="shared" si="16"/>
        <v>40.692904224132199</v>
      </c>
      <c r="AG30" s="492">
        <f t="shared" si="16"/>
        <v>0</v>
      </c>
      <c r="AH30" s="492">
        <f t="shared" si="16"/>
        <v>4.1553163886105651</v>
      </c>
      <c r="AI30" s="492">
        <f t="shared" si="16"/>
        <v>0</v>
      </c>
      <c r="AJ30" s="492">
        <f t="shared" si="16"/>
        <v>0</v>
      </c>
      <c r="AK30" s="492">
        <f t="shared" si="16"/>
        <v>0</v>
      </c>
      <c r="AL30" s="492">
        <f t="shared" si="16"/>
        <v>0</v>
      </c>
      <c r="AM30" s="498">
        <f t="shared" si="16"/>
        <v>0</v>
      </c>
      <c r="AN30" s="495">
        <f t="shared" si="16"/>
        <v>54.722939604974094</v>
      </c>
      <c r="AO30" s="494">
        <v>562.37095164267794</v>
      </c>
      <c r="AP30" s="496">
        <f>SUM(AP31:AP44)</f>
        <v>0</v>
      </c>
      <c r="AQ30" s="403">
        <f t="shared" ref="AQ30" si="17">C30+H30+L30+AA30+AB30+AN30+AO30+AP30</f>
        <v>2261.8102485208669</v>
      </c>
      <c r="AR30" s="80"/>
      <c r="AS30" s="83"/>
    </row>
    <row r="31" spans="1:45" ht="12.75" customHeight="1">
      <c r="A31" s="499" t="s">
        <v>246</v>
      </c>
      <c r="B31" s="500" t="s">
        <v>247</v>
      </c>
      <c r="C31" s="501">
        <f t="shared" ref="C31:C43" si="18">SUM(D31:G31)</f>
        <v>0</v>
      </c>
      <c r="D31" s="413">
        <v>0</v>
      </c>
      <c r="E31" s="502"/>
      <c r="F31" s="502"/>
      <c r="G31" s="503"/>
      <c r="H31" s="504">
        <f t="shared" ref="H31:H43" si="19">SUM(I31:K31)</f>
        <v>0</v>
      </c>
      <c r="I31" s="505"/>
      <c r="J31" s="506"/>
      <c r="K31" s="416"/>
      <c r="L31" s="504">
        <f t="shared" ref="L31:L43" si="20">SUM(M31:Z31)</f>
        <v>15.076944231866809</v>
      </c>
      <c r="M31" s="416"/>
      <c r="N31" s="416"/>
      <c r="O31" s="416"/>
      <c r="P31" s="507"/>
      <c r="Q31" s="458">
        <v>0.252</v>
      </c>
      <c r="R31" s="502"/>
      <c r="S31" s="458">
        <v>0</v>
      </c>
      <c r="T31" s="458">
        <v>9.0944231866809708E-2</v>
      </c>
      <c r="U31" s="458">
        <v>14.734</v>
      </c>
      <c r="V31" s="458">
        <v>0</v>
      </c>
      <c r="W31" s="502"/>
      <c r="X31" s="505"/>
      <c r="Y31" s="507"/>
      <c r="Z31" s="416"/>
      <c r="AA31" s="414">
        <v>11.321518316813064</v>
      </c>
      <c r="AB31" s="508">
        <f t="shared" ref="AB31:AB43" si="21">SUM(AC31:AM31)</f>
        <v>0</v>
      </c>
      <c r="AC31" s="509"/>
      <c r="AD31" s="416"/>
      <c r="AE31" s="416"/>
      <c r="AF31" s="416"/>
      <c r="AG31" s="416"/>
      <c r="AH31" s="416"/>
      <c r="AI31" s="416"/>
      <c r="AJ31" s="416"/>
      <c r="AK31" s="407"/>
      <c r="AL31" s="409"/>
      <c r="AM31" s="416"/>
      <c r="AN31" s="414"/>
      <c r="AO31" s="414">
        <v>18.942945216847264</v>
      </c>
      <c r="AP31" s="508"/>
      <c r="AQ31" s="415">
        <f t="shared" si="13"/>
        <v>45.341407765527137</v>
      </c>
    </row>
    <row r="32" spans="1:45" ht="12.75" customHeight="1">
      <c r="A32" s="510" t="s">
        <v>248</v>
      </c>
      <c r="B32" s="511" t="s">
        <v>249</v>
      </c>
      <c r="C32" s="355">
        <f t="shared" si="18"/>
        <v>18.505815952000003</v>
      </c>
      <c r="D32" s="364">
        <v>18.505815952000003</v>
      </c>
      <c r="E32" s="512"/>
      <c r="F32" s="512"/>
      <c r="G32" s="513"/>
      <c r="H32" s="359">
        <f t="shared" si="19"/>
        <v>0.82966372355999995</v>
      </c>
      <c r="I32" s="360">
        <v>0.82966372355999995</v>
      </c>
      <c r="J32" s="361"/>
      <c r="K32" s="362"/>
      <c r="L32" s="359">
        <f t="shared" si="20"/>
        <v>65.081234617624631</v>
      </c>
      <c r="M32" s="362"/>
      <c r="N32" s="362"/>
      <c r="O32" s="362"/>
      <c r="P32" s="507"/>
      <c r="Q32" s="512">
        <v>1.514</v>
      </c>
      <c r="R32" s="512"/>
      <c r="S32" s="512">
        <v>22.968462416696998</v>
      </c>
      <c r="T32" s="512">
        <v>29.49577220092764</v>
      </c>
      <c r="U32" s="512">
        <v>11.103</v>
      </c>
      <c r="V32" s="512">
        <v>0</v>
      </c>
      <c r="W32" s="512"/>
      <c r="X32" s="360"/>
      <c r="Y32" s="358"/>
      <c r="Z32" s="362"/>
      <c r="AA32" s="365">
        <v>272.71139495674981</v>
      </c>
      <c r="AB32" s="363">
        <f t="shared" si="21"/>
        <v>27.983335383690566</v>
      </c>
      <c r="AC32" s="364"/>
      <c r="AD32" s="362"/>
      <c r="AE32" s="362">
        <v>23.828018995080001</v>
      </c>
      <c r="AF32" s="362"/>
      <c r="AG32" s="416"/>
      <c r="AH32" s="416">
        <v>4.1553163886105651</v>
      </c>
      <c r="AI32" s="416"/>
      <c r="AJ32" s="416"/>
      <c r="AK32" s="360"/>
      <c r="AL32" s="358"/>
      <c r="AM32" s="362"/>
      <c r="AN32" s="365"/>
      <c r="AO32" s="365">
        <v>95.275088867672153</v>
      </c>
      <c r="AP32" s="363"/>
      <c r="AQ32" s="366">
        <f t="shared" si="13"/>
        <v>480.38653350129721</v>
      </c>
    </row>
    <row r="33" spans="1:45" ht="12.75" customHeight="1">
      <c r="A33" s="510" t="s">
        <v>250</v>
      </c>
      <c r="B33" s="514" t="s">
        <v>251</v>
      </c>
      <c r="C33" s="355">
        <f t="shared" si="18"/>
        <v>0</v>
      </c>
      <c r="D33" s="364">
        <v>0</v>
      </c>
      <c r="E33" s="512"/>
      <c r="F33" s="512"/>
      <c r="G33" s="513"/>
      <c r="H33" s="359">
        <f t="shared" si="19"/>
        <v>0</v>
      </c>
      <c r="I33" s="360"/>
      <c r="J33" s="361"/>
      <c r="K33" s="362"/>
      <c r="L33" s="359">
        <f t="shared" si="20"/>
        <v>4.2587599630269795</v>
      </c>
      <c r="M33" s="362"/>
      <c r="N33" s="362"/>
      <c r="O33" s="362"/>
      <c r="P33" s="507"/>
      <c r="Q33" s="512">
        <v>7.6999999999999999E-2</v>
      </c>
      <c r="R33" s="512"/>
      <c r="S33" s="512">
        <v>0</v>
      </c>
      <c r="T33" s="512">
        <v>3.9077599630269795</v>
      </c>
      <c r="U33" s="512">
        <v>0.27400000000000002</v>
      </c>
      <c r="V33" s="512">
        <v>0</v>
      </c>
      <c r="W33" s="512"/>
      <c r="X33" s="360"/>
      <c r="Y33" s="358"/>
      <c r="Z33" s="362"/>
      <c r="AA33" s="365">
        <v>3.3044502133205622</v>
      </c>
      <c r="AB33" s="363">
        <f t="shared" si="21"/>
        <v>0</v>
      </c>
      <c r="AC33" s="364"/>
      <c r="AD33" s="362"/>
      <c r="AE33" s="362"/>
      <c r="AF33" s="362"/>
      <c r="AG33" s="416"/>
      <c r="AH33" s="416"/>
      <c r="AI33" s="416"/>
      <c r="AJ33" s="416"/>
      <c r="AK33" s="360"/>
      <c r="AL33" s="358"/>
      <c r="AM33" s="362"/>
      <c r="AN33" s="365"/>
      <c r="AO33" s="365">
        <v>2.6521774464642336</v>
      </c>
      <c r="AP33" s="363"/>
      <c r="AQ33" s="366">
        <f t="shared" si="13"/>
        <v>10.215387622811775</v>
      </c>
    </row>
    <row r="34" spans="1:45" ht="12.75" customHeight="1">
      <c r="A34" s="510" t="s">
        <v>252</v>
      </c>
      <c r="B34" s="514" t="s">
        <v>253</v>
      </c>
      <c r="C34" s="355">
        <f t="shared" si="18"/>
        <v>0</v>
      </c>
      <c r="D34" s="364">
        <v>0</v>
      </c>
      <c r="E34" s="512"/>
      <c r="F34" s="512"/>
      <c r="G34" s="513"/>
      <c r="H34" s="359">
        <f t="shared" si="19"/>
        <v>0</v>
      </c>
      <c r="I34" s="360"/>
      <c r="J34" s="361"/>
      <c r="K34" s="362"/>
      <c r="L34" s="359">
        <f t="shared" si="20"/>
        <v>3.2131895506092896</v>
      </c>
      <c r="M34" s="362"/>
      <c r="N34" s="362"/>
      <c r="O34" s="362"/>
      <c r="P34" s="507"/>
      <c r="Q34" s="512">
        <v>0.17699999999999999</v>
      </c>
      <c r="R34" s="512"/>
      <c r="S34" s="512">
        <v>0</v>
      </c>
      <c r="T34" s="512">
        <v>0.60818955060928981</v>
      </c>
      <c r="U34" s="512">
        <v>2.4279999999999999</v>
      </c>
      <c r="V34" s="512">
        <v>0</v>
      </c>
      <c r="W34" s="512"/>
      <c r="X34" s="360"/>
      <c r="Y34" s="358"/>
      <c r="Z34" s="362"/>
      <c r="AA34" s="365">
        <v>9.6605545809524642</v>
      </c>
      <c r="AB34" s="363">
        <f t="shared" si="21"/>
        <v>127.91319688416</v>
      </c>
      <c r="AC34" s="364"/>
      <c r="AD34" s="362"/>
      <c r="AE34" s="362">
        <v>127.91319688416</v>
      </c>
      <c r="AF34" s="362"/>
      <c r="AG34" s="416"/>
      <c r="AH34" s="416"/>
      <c r="AI34" s="416"/>
      <c r="AJ34" s="416"/>
      <c r="AK34" s="360"/>
      <c r="AL34" s="358"/>
      <c r="AM34" s="362"/>
      <c r="AN34" s="365"/>
      <c r="AO34" s="365">
        <v>24.722008913423029</v>
      </c>
      <c r="AP34" s="363"/>
      <c r="AQ34" s="366">
        <f t="shared" si="13"/>
        <v>165.50894992914479</v>
      </c>
    </row>
    <row r="35" spans="1:45" ht="12.75" customHeight="1">
      <c r="A35" s="510" t="s">
        <v>254</v>
      </c>
      <c r="B35" s="514" t="s">
        <v>255</v>
      </c>
      <c r="C35" s="355">
        <f t="shared" si="18"/>
        <v>0</v>
      </c>
      <c r="D35" s="364">
        <v>0</v>
      </c>
      <c r="E35" s="512"/>
      <c r="F35" s="512"/>
      <c r="G35" s="513"/>
      <c r="H35" s="359">
        <f t="shared" si="19"/>
        <v>0</v>
      </c>
      <c r="I35" s="360"/>
      <c r="J35" s="361"/>
      <c r="K35" s="362"/>
      <c r="L35" s="359">
        <f t="shared" si="20"/>
        <v>1.6055046049530732</v>
      </c>
      <c r="M35" s="362"/>
      <c r="N35" s="362"/>
      <c r="O35" s="362"/>
      <c r="P35" s="507"/>
      <c r="Q35" s="512">
        <v>9.6000000000000002E-2</v>
      </c>
      <c r="R35" s="512"/>
      <c r="S35" s="512">
        <v>0</v>
      </c>
      <c r="T35" s="512">
        <v>0.62950460495307337</v>
      </c>
      <c r="U35" s="512">
        <v>0.88</v>
      </c>
      <c r="V35" s="512">
        <v>0</v>
      </c>
      <c r="W35" s="512"/>
      <c r="X35" s="360"/>
      <c r="Y35" s="358"/>
      <c r="Z35" s="362"/>
      <c r="AA35" s="365">
        <v>14.125994102315383</v>
      </c>
      <c r="AB35" s="363">
        <f t="shared" si="21"/>
        <v>0</v>
      </c>
      <c r="AC35" s="364"/>
      <c r="AD35" s="362"/>
      <c r="AE35" s="362"/>
      <c r="AF35" s="362"/>
      <c r="AG35" s="416"/>
      <c r="AH35" s="416"/>
      <c r="AI35" s="416"/>
      <c r="AJ35" s="416"/>
      <c r="AK35" s="360"/>
      <c r="AL35" s="358"/>
      <c r="AM35" s="362"/>
      <c r="AN35" s="365"/>
      <c r="AO35" s="365">
        <v>10.336268211589791</v>
      </c>
      <c r="AP35" s="363"/>
      <c r="AQ35" s="366">
        <f t="shared" si="13"/>
        <v>26.067766918858247</v>
      </c>
    </row>
    <row r="36" spans="1:45" ht="12.75" customHeight="1">
      <c r="A36" s="510" t="s">
        <v>256</v>
      </c>
      <c r="B36" s="514" t="s">
        <v>257</v>
      </c>
      <c r="C36" s="355">
        <f t="shared" si="18"/>
        <v>0</v>
      </c>
      <c r="D36" s="509">
        <v>0</v>
      </c>
      <c r="E36" s="512"/>
      <c r="F36" s="512"/>
      <c r="G36" s="513"/>
      <c r="H36" s="359">
        <f t="shared" si="19"/>
        <v>0</v>
      </c>
      <c r="I36" s="360"/>
      <c r="J36" s="361"/>
      <c r="K36" s="362"/>
      <c r="L36" s="359">
        <f t="shared" si="20"/>
        <v>21.418897222529047</v>
      </c>
      <c r="M36" s="362"/>
      <c r="N36" s="362"/>
      <c r="O36" s="362"/>
      <c r="P36" s="507"/>
      <c r="Q36" s="502">
        <v>0.30599999999999994</v>
      </c>
      <c r="R36" s="512"/>
      <c r="S36" s="502">
        <v>2.7458233928999998</v>
      </c>
      <c r="T36" s="502">
        <v>3.9702841224354111</v>
      </c>
      <c r="U36" s="502">
        <v>4.5789999999999997</v>
      </c>
      <c r="V36" s="502">
        <v>9.8177897071936346</v>
      </c>
      <c r="W36" s="512"/>
      <c r="X36" s="360"/>
      <c r="Y36" s="358"/>
      <c r="Z36" s="362"/>
      <c r="AA36" s="515">
        <v>129.58450822372785</v>
      </c>
      <c r="AB36" s="363">
        <f t="shared" si="21"/>
        <v>0</v>
      </c>
      <c r="AC36" s="364"/>
      <c r="AD36" s="362"/>
      <c r="AE36" s="362">
        <v>0</v>
      </c>
      <c r="AF36" s="362"/>
      <c r="AG36" s="416"/>
      <c r="AH36" s="416"/>
      <c r="AI36" s="416"/>
      <c r="AJ36" s="416"/>
      <c r="AK36" s="505"/>
      <c r="AL36" s="507"/>
      <c r="AM36" s="362"/>
      <c r="AN36" s="515"/>
      <c r="AO36" s="515">
        <v>76.140196178045755</v>
      </c>
      <c r="AP36" s="363"/>
      <c r="AQ36" s="366">
        <f t="shared" si="13"/>
        <v>227.14360162430265</v>
      </c>
    </row>
    <row r="37" spans="1:45" ht="12.75" customHeight="1">
      <c r="A37" s="510" t="s">
        <v>258</v>
      </c>
      <c r="B37" s="514" t="s">
        <v>259</v>
      </c>
      <c r="C37" s="355">
        <f t="shared" si="18"/>
        <v>0</v>
      </c>
      <c r="D37" s="364">
        <v>0</v>
      </c>
      <c r="E37" s="512"/>
      <c r="F37" s="512"/>
      <c r="G37" s="513"/>
      <c r="H37" s="359">
        <f t="shared" si="19"/>
        <v>0</v>
      </c>
      <c r="I37" s="360"/>
      <c r="J37" s="361"/>
      <c r="K37" s="362"/>
      <c r="L37" s="359">
        <f t="shared" si="20"/>
        <v>4.1927665829180274</v>
      </c>
      <c r="M37" s="362"/>
      <c r="N37" s="362"/>
      <c r="O37" s="362"/>
      <c r="P37" s="507"/>
      <c r="Q37" s="512">
        <v>0.53500000000000003</v>
      </c>
      <c r="R37" s="512"/>
      <c r="S37" s="512">
        <v>0</v>
      </c>
      <c r="T37" s="512">
        <v>2.1897665829180273</v>
      </c>
      <c r="U37" s="512">
        <v>1.468</v>
      </c>
      <c r="V37" s="512">
        <v>0</v>
      </c>
      <c r="W37" s="512"/>
      <c r="X37" s="360"/>
      <c r="Y37" s="358"/>
      <c r="Z37" s="362"/>
      <c r="AA37" s="365">
        <v>17.456036015436883</v>
      </c>
      <c r="AB37" s="363">
        <f t="shared" si="21"/>
        <v>0</v>
      </c>
      <c r="AC37" s="364"/>
      <c r="AD37" s="362"/>
      <c r="AE37" s="362"/>
      <c r="AF37" s="362"/>
      <c r="AG37" s="416"/>
      <c r="AH37" s="416"/>
      <c r="AI37" s="416"/>
      <c r="AJ37" s="416"/>
      <c r="AK37" s="360"/>
      <c r="AL37" s="358"/>
      <c r="AM37" s="362"/>
      <c r="AN37" s="365"/>
      <c r="AO37" s="365">
        <v>25.06049692993675</v>
      </c>
      <c r="AP37" s="363"/>
      <c r="AQ37" s="366">
        <f t="shared" si="13"/>
        <v>46.709299528291666</v>
      </c>
    </row>
    <row r="38" spans="1:45" ht="12.75" customHeight="1">
      <c r="A38" s="510" t="s">
        <v>260</v>
      </c>
      <c r="B38" s="514" t="s">
        <v>261</v>
      </c>
      <c r="C38" s="355">
        <f t="shared" si="18"/>
        <v>86.919212076000022</v>
      </c>
      <c r="D38" s="364">
        <v>86.919212076000022</v>
      </c>
      <c r="E38" s="512"/>
      <c r="F38" s="512"/>
      <c r="G38" s="513"/>
      <c r="H38" s="359">
        <f t="shared" si="19"/>
        <v>0</v>
      </c>
      <c r="I38" s="360"/>
      <c r="J38" s="361"/>
      <c r="K38" s="362"/>
      <c r="L38" s="359">
        <f t="shared" si="20"/>
        <v>160.32357118657256</v>
      </c>
      <c r="M38" s="362"/>
      <c r="N38" s="362"/>
      <c r="O38" s="362"/>
      <c r="P38" s="507"/>
      <c r="Q38" s="512">
        <v>1.1439999999999999</v>
      </c>
      <c r="R38" s="512"/>
      <c r="S38" s="512">
        <v>0</v>
      </c>
      <c r="T38" s="512">
        <v>2.6359617205145627</v>
      </c>
      <c r="U38" s="512">
        <v>25.253</v>
      </c>
      <c r="V38" s="512">
        <v>131.29060946605799</v>
      </c>
      <c r="W38" s="512"/>
      <c r="X38" s="360"/>
      <c r="Y38" s="358"/>
      <c r="Z38" s="362"/>
      <c r="AA38" s="365">
        <v>46.760404850906049</v>
      </c>
      <c r="AB38" s="363">
        <f t="shared" si="21"/>
        <v>42.918678312955997</v>
      </c>
      <c r="AC38" s="364"/>
      <c r="AD38" s="362"/>
      <c r="AE38" s="362">
        <v>2.2257740888237998</v>
      </c>
      <c r="AF38" s="362">
        <v>40.692904224132199</v>
      </c>
      <c r="AG38" s="416"/>
      <c r="AH38" s="416"/>
      <c r="AI38" s="416"/>
      <c r="AJ38" s="416"/>
      <c r="AK38" s="360"/>
      <c r="AL38" s="358"/>
      <c r="AM38" s="362"/>
      <c r="AN38" s="365">
        <v>54.722939604974094</v>
      </c>
      <c r="AO38" s="365">
        <v>73.686158058321269</v>
      </c>
      <c r="AP38" s="363"/>
      <c r="AQ38" s="366">
        <f t="shared" si="13"/>
        <v>465.33096408973</v>
      </c>
    </row>
    <row r="39" spans="1:45" ht="12.75" customHeight="1">
      <c r="A39" s="510" t="s">
        <v>262</v>
      </c>
      <c r="B39" s="514" t="s">
        <v>263</v>
      </c>
      <c r="C39" s="355">
        <f t="shared" si="18"/>
        <v>0</v>
      </c>
      <c r="D39" s="364">
        <v>0</v>
      </c>
      <c r="E39" s="512"/>
      <c r="F39" s="512"/>
      <c r="G39" s="513"/>
      <c r="H39" s="359">
        <f t="shared" si="19"/>
        <v>0</v>
      </c>
      <c r="I39" s="360"/>
      <c r="J39" s="361"/>
      <c r="K39" s="362"/>
      <c r="L39" s="359">
        <f t="shared" si="20"/>
        <v>5.6776554397216028</v>
      </c>
      <c r="M39" s="362"/>
      <c r="N39" s="362"/>
      <c r="O39" s="362"/>
      <c r="P39" s="507"/>
      <c r="Q39" s="512">
        <v>0.33800000000000002</v>
      </c>
      <c r="R39" s="512"/>
      <c r="S39" s="512">
        <v>1.0397614907400001</v>
      </c>
      <c r="T39" s="512">
        <v>1.5488939489816029</v>
      </c>
      <c r="U39" s="512">
        <v>2.7509999999999999</v>
      </c>
      <c r="V39" s="512">
        <v>0</v>
      </c>
      <c r="W39" s="512"/>
      <c r="X39" s="360"/>
      <c r="Y39" s="358"/>
      <c r="Z39" s="362"/>
      <c r="AA39" s="365">
        <v>411.95146425902993</v>
      </c>
      <c r="AB39" s="363">
        <f t="shared" si="21"/>
        <v>0</v>
      </c>
      <c r="AC39" s="364"/>
      <c r="AD39" s="362"/>
      <c r="AE39" s="362"/>
      <c r="AF39" s="362"/>
      <c r="AG39" s="416"/>
      <c r="AH39" s="416"/>
      <c r="AI39" s="416"/>
      <c r="AJ39" s="416"/>
      <c r="AK39" s="360"/>
      <c r="AL39" s="358"/>
      <c r="AM39" s="362"/>
      <c r="AN39" s="365"/>
      <c r="AO39" s="365">
        <v>67.595437712394457</v>
      </c>
      <c r="AP39" s="363"/>
      <c r="AQ39" s="366">
        <f t="shared" si="13"/>
        <v>485.22455741114601</v>
      </c>
    </row>
    <row r="40" spans="1:45" ht="12.75" customHeight="1">
      <c r="A40" s="510" t="s">
        <v>264</v>
      </c>
      <c r="B40" s="514" t="s">
        <v>265</v>
      </c>
      <c r="C40" s="355">
        <f t="shared" si="18"/>
        <v>0</v>
      </c>
      <c r="D40" s="364">
        <v>0</v>
      </c>
      <c r="E40" s="512"/>
      <c r="F40" s="512"/>
      <c r="G40" s="513"/>
      <c r="H40" s="359">
        <f t="shared" si="19"/>
        <v>0</v>
      </c>
      <c r="I40" s="360"/>
      <c r="J40" s="361"/>
      <c r="K40" s="362"/>
      <c r="L40" s="359">
        <f t="shared" si="20"/>
        <v>4.0583976227701353</v>
      </c>
      <c r="M40" s="362"/>
      <c r="N40" s="362"/>
      <c r="O40" s="362"/>
      <c r="P40" s="507"/>
      <c r="Q40" s="512">
        <v>0.14399999999999999</v>
      </c>
      <c r="R40" s="512"/>
      <c r="S40" s="512">
        <v>0</v>
      </c>
      <c r="T40" s="512">
        <v>2.2053976227701355</v>
      </c>
      <c r="U40" s="512">
        <v>1.7090000000000001</v>
      </c>
      <c r="V40" s="512">
        <v>0</v>
      </c>
      <c r="W40" s="512"/>
      <c r="X40" s="360"/>
      <c r="Y40" s="358"/>
      <c r="Z40" s="362"/>
      <c r="AA40" s="365">
        <v>14.088542834314019</v>
      </c>
      <c r="AB40" s="363">
        <f t="shared" si="21"/>
        <v>0</v>
      </c>
      <c r="AC40" s="364"/>
      <c r="AD40" s="362"/>
      <c r="AE40" s="362"/>
      <c r="AF40" s="362"/>
      <c r="AG40" s="416"/>
      <c r="AH40" s="416"/>
      <c r="AI40" s="416"/>
      <c r="AJ40" s="416"/>
      <c r="AK40" s="360"/>
      <c r="AL40" s="358"/>
      <c r="AM40" s="362"/>
      <c r="AN40" s="365"/>
      <c r="AO40" s="365">
        <v>17.033790245657055</v>
      </c>
      <c r="AP40" s="363"/>
      <c r="AQ40" s="366">
        <f t="shared" si="13"/>
        <v>35.180730702741215</v>
      </c>
    </row>
    <row r="41" spans="1:45" ht="12.75" customHeight="1">
      <c r="A41" s="510" t="s">
        <v>266</v>
      </c>
      <c r="B41" s="514" t="s">
        <v>267</v>
      </c>
      <c r="C41" s="355">
        <f t="shared" si="18"/>
        <v>0</v>
      </c>
      <c r="D41" s="509">
        <v>0</v>
      </c>
      <c r="E41" s="512"/>
      <c r="F41" s="512"/>
      <c r="G41" s="513"/>
      <c r="H41" s="359">
        <f t="shared" si="19"/>
        <v>0</v>
      </c>
      <c r="I41" s="360"/>
      <c r="J41" s="361"/>
      <c r="K41" s="362"/>
      <c r="L41" s="359">
        <f t="shared" si="20"/>
        <v>2.3538976736397665</v>
      </c>
      <c r="M41" s="362"/>
      <c r="N41" s="362"/>
      <c r="O41" s="362"/>
      <c r="P41" s="507"/>
      <c r="Q41" s="502">
        <v>0.184</v>
      </c>
      <c r="R41" s="512"/>
      <c r="S41" s="502">
        <v>0</v>
      </c>
      <c r="T41" s="502">
        <v>1.4408976736397665</v>
      </c>
      <c r="U41" s="502">
        <v>0.72899999999999998</v>
      </c>
      <c r="V41" s="502">
        <v>0</v>
      </c>
      <c r="W41" s="512"/>
      <c r="X41" s="360"/>
      <c r="Y41" s="358"/>
      <c r="Z41" s="362"/>
      <c r="AA41" s="515">
        <v>20.514556235548469</v>
      </c>
      <c r="AB41" s="363">
        <f t="shared" si="21"/>
        <v>0</v>
      </c>
      <c r="AC41" s="364"/>
      <c r="AD41" s="362"/>
      <c r="AE41" s="362"/>
      <c r="AF41" s="362"/>
      <c r="AG41" s="416"/>
      <c r="AH41" s="416"/>
      <c r="AI41" s="416"/>
      <c r="AJ41" s="416"/>
      <c r="AK41" s="505"/>
      <c r="AL41" s="507"/>
      <c r="AM41" s="362"/>
      <c r="AN41" s="515"/>
      <c r="AO41" s="515">
        <v>88.215343376908805</v>
      </c>
      <c r="AP41" s="363"/>
      <c r="AQ41" s="366">
        <f t="shared" si="13"/>
        <v>111.08379728609704</v>
      </c>
    </row>
    <row r="42" spans="1:45" ht="12.75" customHeight="1">
      <c r="A42" s="510" t="s">
        <v>268</v>
      </c>
      <c r="B42" s="514" t="s">
        <v>269</v>
      </c>
      <c r="C42" s="355">
        <f t="shared" si="18"/>
        <v>0</v>
      </c>
      <c r="D42" s="364">
        <v>0</v>
      </c>
      <c r="E42" s="512"/>
      <c r="F42" s="512"/>
      <c r="G42" s="513"/>
      <c r="H42" s="359">
        <f t="shared" si="19"/>
        <v>0</v>
      </c>
      <c r="I42" s="360"/>
      <c r="J42" s="361"/>
      <c r="K42" s="362"/>
      <c r="L42" s="359">
        <f t="shared" si="20"/>
        <v>1.2106523548972861</v>
      </c>
      <c r="M42" s="362"/>
      <c r="N42" s="362"/>
      <c r="O42" s="362"/>
      <c r="P42" s="507"/>
      <c r="Q42" s="512">
        <v>6.6000000000000003E-2</v>
      </c>
      <c r="R42" s="512"/>
      <c r="S42" s="512">
        <v>0</v>
      </c>
      <c r="T42" s="512">
        <v>0.92365235489728603</v>
      </c>
      <c r="U42" s="512">
        <v>0.221</v>
      </c>
      <c r="V42" s="512">
        <v>0</v>
      </c>
      <c r="W42" s="512"/>
      <c r="X42" s="360"/>
      <c r="Y42" s="358"/>
      <c r="Z42" s="362"/>
      <c r="AA42" s="365">
        <v>0.86574847863158677</v>
      </c>
      <c r="AB42" s="363">
        <f t="shared" si="21"/>
        <v>0</v>
      </c>
      <c r="AC42" s="364"/>
      <c r="AD42" s="362"/>
      <c r="AE42" s="362"/>
      <c r="AF42" s="362"/>
      <c r="AG42" s="416"/>
      <c r="AH42" s="416"/>
      <c r="AI42" s="416"/>
      <c r="AJ42" s="416"/>
      <c r="AK42" s="466"/>
      <c r="AL42" s="462"/>
      <c r="AM42" s="362"/>
      <c r="AN42" s="467"/>
      <c r="AO42" s="365">
        <v>2.5758112476166248</v>
      </c>
      <c r="AP42" s="363"/>
      <c r="AQ42" s="366">
        <f t="shared" si="13"/>
        <v>4.6522120811454979</v>
      </c>
    </row>
    <row r="43" spans="1:45" ht="12.75" customHeight="1">
      <c r="A43" s="510" t="s">
        <v>270</v>
      </c>
      <c r="B43" s="514" t="s">
        <v>271</v>
      </c>
      <c r="C43" s="355">
        <f t="shared" si="18"/>
        <v>0</v>
      </c>
      <c r="D43" s="364">
        <v>0</v>
      </c>
      <c r="E43" s="512"/>
      <c r="F43" s="512"/>
      <c r="G43" s="513"/>
      <c r="H43" s="359">
        <f t="shared" si="19"/>
        <v>0</v>
      </c>
      <c r="I43" s="360"/>
      <c r="J43" s="361"/>
      <c r="K43" s="362">
        <v>0</v>
      </c>
      <c r="L43" s="359">
        <f t="shared" si="20"/>
        <v>12.040386855324506</v>
      </c>
      <c r="M43" s="362"/>
      <c r="N43" s="362"/>
      <c r="O43" s="362"/>
      <c r="P43" s="358"/>
      <c r="Q43" s="512">
        <v>0.29299999999999998</v>
      </c>
      <c r="R43" s="512"/>
      <c r="S43" s="512">
        <v>3.6425061461249997</v>
      </c>
      <c r="T43" s="512">
        <v>4.9848807091995067</v>
      </c>
      <c r="U43" s="512">
        <v>3.12</v>
      </c>
      <c r="V43" s="512">
        <v>0</v>
      </c>
      <c r="W43" s="512"/>
      <c r="X43" s="360"/>
      <c r="Y43" s="358"/>
      <c r="Z43" s="362"/>
      <c r="AA43" s="365">
        <v>49.987455777023783</v>
      </c>
      <c r="AB43" s="363">
        <f t="shared" si="21"/>
        <v>0</v>
      </c>
      <c r="AC43" s="364"/>
      <c r="AD43" s="362"/>
      <c r="AE43" s="362"/>
      <c r="AF43" s="362"/>
      <c r="AG43" s="362"/>
      <c r="AH43" s="362"/>
      <c r="AI43" s="362"/>
      <c r="AJ43" s="362"/>
      <c r="AK43" s="360"/>
      <c r="AL43" s="358"/>
      <c r="AM43" s="362"/>
      <c r="AN43" s="365"/>
      <c r="AO43" s="365">
        <v>50.192200180420599</v>
      </c>
      <c r="AP43" s="363"/>
      <c r="AQ43" s="366">
        <f t="shared" si="13"/>
        <v>112.2200428127689</v>
      </c>
    </row>
    <row r="44" spans="1:45" ht="12.75" customHeight="1">
      <c r="A44" s="516" t="s">
        <v>272</v>
      </c>
      <c r="B44" s="517" t="s">
        <v>273</v>
      </c>
      <c r="C44" s="419">
        <f>SUM(D44:G44)</f>
        <v>0</v>
      </c>
      <c r="D44" s="426">
        <v>0</v>
      </c>
      <c r="E44" s="518"/>
      <c r="F44" s="518"/>
      <c r="G44" s="519"/>
      <c r="H44" s="423">
        <f>SUM(I44:K44)</f>
        <v>0</v>
      </c>
      <c r="I44" s="420"/>
      <c r="J44" s="421"/>
      <c r="K44" s="421"/>
      <c r="L44" s="423">
        <f>SUM(M44:Z44)</f>
        <v>32.705149888372631</v>
      </c>
      <c r="M44" s="421"/>
      <c r="N44" s="421"/>
      <c r="O44" s="421"/>
      <c r="P44" s="422"/>
      <c r="Q44" s="518">
        <v>0.70131177564926306</v>
      </c>
      <c r="R44" s="518"/>
      <c r="S44" s="518">
        <v>0</v>
      </c>
      <c r="T44" s="518">
        <v>0.47390520196714231</v>
      </c>
      <c r="U44" s="518">
        <v>31.529932910756227</v>
      </c>
      <c r="V44" s="518">
        <v>0</v>
      </c>
      <c r="W44" s="518"/>
      <c r="X44" s="420"/>
      <c r="Y44" s="422"/>
      <c r="Z44" s="421"/>
      <c r="AA44" s="427">
        <v>4.0968183012521333</v>
      </c>
      <c r="AB44" s="425">
        <f>SUM(AC44:AM44)</f>
        <v>0</v>
      </c>
      <c r="AC44" s="426"/>
      <c r="AD44" s="421"/>
      <c r="AE44" s="421"/>
      <c r="AF44" s="421"/>
      <c r="AG44" s="421"/>
      <c r="AH44" s="421"/>
      <c r="AI44" s="421"/>
      <c r="AJ44" s="421"/>
      <c r="AK44" s="420"/>
      <c r="AL44" s="422"/>
      <c r="AM44" s="421"/>
      <c r="AN44" s="427"/>
      <c r="AO44" s="427">
        <v>9.9430290573801638</v>
      </c>
      <c r="AP44" s="425"/>
      <c r="AQ44" s="428">
        <f>C44+H44+L44+AA44+AB44+AN44+AO44+AP44</f>
        <v>46.744997247004932</v>
      </c>
    </row>
    <row r="45" spans="1:45" s="84" customFormat="1" ht="12.75" customHeight="1">
      <c r="A45" s="429" t="s">
        <v>274</v>
      </c>
      <c r="B45" s="430"/>
      <c r="C45" s="520">
        <f t="shared" ref="C45:AP45" si="22">SUM(C46:C55)</f>
        <v>0</v>
      </c>
      <c r="D45" s="521">
        <f t="shared" si="22"/>
        <v>0</v>
      </c>
      <c r="E45" s="521">
        <f t="shared" si="22"/>
        <v>0</v>
      </c>
      <c r="F45" s="522">
        <f t="shared" si="22"/>
        <v>0</v>
      </c>
      <c r="G45" s="522">
        <f t="shared" si="22"/>
        <v>0</v>
      </c>
      <c r="H45" s="523">
        <f t="shared" si="22"/>
        <v>0</v>
      </c>
      <c r="I45" s="524">
        <f t="shared" si="22"/>
        <v>0</v>
      </c>
      <c r="J45" s="525">
        <f t="shared" si="22"/>
        <v>0</v>
      </c>
      <c r="K45" s="521">
        <f t="shared" si="22"/>
        <v>0</v>
      </c>
      <c r="L45" s="523">
        <f t="shared" si="22"/>
        <v>5012.6665578559823</v>
      </c>
      <c r="M45" s="521">
        <f t="shared" si="22"/>
        <v>0</v>
      </c>
      <c r="N45" s="521">
        <f t="shared" ref="N45" si="23">SUM(N46:N55)</f>
        <v>0</v>
      </c>
      <c r="O45" s="521">
        <f t="shared" si="22"/>
        <v>0</v>
      </c>
      <c r="P45" s="521">
        <f t="shared" si="22"/>
        <v>824.24502392197087</v>
      </c>
      <c r="Q45" s="521">
        <f t="shared" si="22"/>
        <v>0</v>
      </c>
      <c r="R45" s="521">
        <f t="shared" si="22"/>
        <v>1102.8442060797599</v>
      </c>
      <c r="S45" s="521">
        <f t="shared" si="22"/>
        <v>0</v>
      </c>
      <c r="T45" s="521">
        <f t="shared" si="22"/>
        <v>1.8520724281984335</v>
      </c>
      <c r="U45" s="521">
        <f>SUM(U46:U55)</f>
        <v>3083.7252554260544</v>
      </c>
      <c r="V45" s="521">
        <f t="shared" si="22"/>
        <v>0</v>
      </c>
      <c r="W45" s="522">
        <f t="shared" si="22"/>
        <v>0</v>
      </c>
      <c r="X45" s="522">
        <f t="shared" si="22"/>
        <v>0</v>
      </c>
      <c r="Y45" s="522">
        <f t="shared" si="22"/>
        <v>0</v>
      </c>
      <c r="Z45" s="521">
        <f t="shared" si="22"/>
        <v>0</v>
      </c>
      <c r="AA45" s="523">
        <f t="shared" si="22"/>
        <v>22.560835415583806</v>
      </c>
      <c r="AB45" s="526">
        <f t="shared" si="22"/>
        <v>154.23960204369604</v>
      </c>
      <c r="AC45" s="527">
        <f t="shared" si="22"/>
        <v>0</v>
      </c>
      <c r="AD45" s="521">
        <f t="shared" si="22"/>
        <v>0</v>
      </c>
      <c r="AE45" s="521">
        <f t="shared" si="22"/>
        <v>0</v>
      </c>
      <c r="AF45" s="521">
        <f t="shared" ref="AF45" si="24">SUM(AF46:AF55)</f>
        <v>0</v>
      </c>
      <c r="AG45" s="521">
        <f t="shared" si="22"/>
        <v>0</v>
      </c>
      <c r="AH45" s="521">
        <f t="shared" si="22"/>
        <v>0</v>
      </c>
      <c r="AI45" s="521">
        <f t="shared" si="22"/>
        <v>126.96834918892804</v>
      </c>
      <c r="AJ45" s="521">
        <f t="shared" ref="AJ45" si="25">SUM(AJ46:AJ55)</f>
        <v>27.271252854767994</v>
      </c>
      <c r="AK45" s="524">
        <f t="shared" si="22"/>
        <v>0</v>
      </c>
      <c r="AL45" s="522">
        <f t="shared" ref="AL45" si="26">SUM(AL46:AL55)</f>
        <v>0</v>
      </c>
      <c r="AM45" s="521">
        <f t="shared" si="22"/>
        <v>0</v>
      </c>
      <c r="AN45" s="523">
        <f t="shared" si="22"/>
        <v>0</v>
      </c>
      <c r="AO45" s="523">
        <f t="shared" si="22"/>
        <v>5.3733816232262495</v>
      </c>
      <c r="AP45" s="526">
        <f t="shared" si="22"/>
        <v>0</v>
      </c>
      <c r="AQ45" s="528">
        <f t="shared" si="13"/>
        <v>5194.8403769384886</v>
      </c>
      <c r="AR45" s="80"/>
      <c r="AS45" s="83"/>
    </row>
    <row r="46" spans="1:45" ht="12.75" customHeight="1">
      <c r="A46" s="529" t="s">
        <v>275</v>
      </c>
      <c r="B46" s="405"/>
      <c r="C46" s="406">
        <f t="shared" ref="C46:C64" si="27">SUM(D46:G46)</f>
        <v>0</v>
      </c>
      <c r="D46" s="530"/>
      <c r="E46" s="457"/>
      <c r="F46" s="409"/>
      <c r="G46" s="409"/>
      <c r="H46" s="410">
        <f t="shared" ref="H46:H64" si="28">SUM(I46:K46)</f>
        <v>0</v>
      </c>
      <c r="I46" s="407"/>
      <c r="J46" s="411"/>
      <c r="K46" s="408"/>
      <c r="L46" s="410">
        <f t="shared" ref="L46:L64" si="29">SUM(M46:Z46)</f>
        <v>703.5908900281911</v>
      </c>
      <c r="M46" s="408"/>
      <c r="N46" s="408"/>
      <c r="O46" s="408"/>
      <c r="P46" s="408"/>
      <c r="Q46" s="408"/>
      <c r="R46" s="408"/>
      <c r="S46" s="408"/>
      <c r="T46" s="408"/>
      <c r="U46" s="408">
        <v>703.5908900281911</v>
      </c>
      <c r="V46" s="408"/>
      <c r="W46" s="409"/>
      <c r="X46" s="409"/>
      <c r="Y46" s="409"/>
      <c r="Z46" s="408"/>
      <c r="AA46" s="414">
        <v>2.9723185667999998E-2</v>
      </c>
      <c r="AB46" s="412">
        <f t="shared" ref="AB46:AB64" si="30">SUM(AC46:AM46)</f>
        <v>30.162309971808927</v>
      </c>
      <c r="AC46" s="413"/>
      <c r="AD46" s="408"/>
      <c r="AE46" s="408"/>
      <c r="AF46" s="408"/>
      <c r="AG46" s="408"/>
      <c r="AH46" s="408"/>
      <c r="AI46" s="408">
        <v>30.162309971808927</v>
      </c>
      <c r="AJ46" s="408">
        <v>0</v>
      </c>
      <c r="AK46" s="407"/>
      <c r="AL46" s="409"/>
      <c r="AM46" s="408"/>
      <c r="AN46" s="410"/>
      <c r="AO46" s="414"/>
      <c r="AP46" s="412"/>
      <c r="AQ46" s="441">
        <f t="shared" si="13"/>
        <v>733.78292318566798</v>
      </c>
    </row>
    <row r="47" spans="1:45" ht="12.75" customHeight="1">
      <c r="A47" s="499" t="s">
        <v>276</v>
      </c>
      <c r="B47" s="531"/>
      <c r="C47" s="355">
        <f t="shared" si="27"/>
        <v>0</v>
      </c>
      <c r="D47" s="532"/>
      <c r="E47" s="533"/>
      <c r="F47" s="507"/>
      <c r="G47" s="507"/>
      <c r="H47" s="359">
        <f t="shared" si="28"/>
        <v>0</v>
      </c>
      <c r="I47" s="505"/>
      <c r="J47" s="506"/>
      <c r="K47" s="416"/>
      <c r="L47" s="504">
        <f t="shared" si="29"/>
        <v>329.18377939153407</v>
      </c>
      <c r="M47" s="416"/>
      <c r="N47" s="416"/>
      <c r="O47" s="416"/>
      <c r="P47" s="416"/>
      <c r="Q47" s="416"/>
      <c r="R47" s="416"/>
      <c r="S47" s="416"/>
      <c r="T47" s="416"/>
      <c r="U47" s="416">
        <v>329.18377939153407</v>
      </c>
      <c r="V47" s="416"/>
      <c r="W47" s="507"/>
      <c r="X47" s="507"/>
      <c r="Y47" s="507"/>
      <c r="Z47" s="416"/>
      <c r="AA47" s="515"/>
      <c r="AB47" s="508">
        <f t="shared" si="30"/>
        <v>14.111813174984674</v>
      </c>
      <c r="AC47" s="509"/>
      <c r="AD47" s="416"/>
      <c r="AE47" s="416"/>
      <c r="AF47" s="416"/>
      <c r="AG47" s="416"/>
      <c r="AH47" s="416"/>
      <c r="AI47" s="416">
        <v>14.111813174984674</v>
      </c>
      <c r="AJ47" s="416">
        <v>0</v>
      </c>
      <c r="AK47" s="505"/>
      <c r="AL47" s="507"/>
      <c r="AM47" s="416"/>
      <c r="AN47" s="504"/>
      <c r="AO47" s="515"/>
      <c r="AP47" s="508"/>
      <c r="AQ47" s="415">
        <f t="shared" si="13"/>
        <v>343.29559256651874</v>
      </c>
    </row>
    <row r="48" spans="1:45" ht="12.75" customHeight="1">
      <c r="A48" s="510" t="s">
        <v>277</v>
      </c>
      <c r="B48" s="354"/>
      <c r="C48" s="355">
        <f t="shared" si="27"/>
        <v>0</v>
      </c>
      <c r="D48" s="356"/>
      <c r="E48" s="367"/>
      <c r="F48" s="358"/>
      <c r="G48" s="358"/>
      <c r="H48" s="359">
        <f t="shared" si="28"/>
        <v>0</v>
      </c>
      <c r="I48" s="360"/>
      <c r="J48" s="361"/>
      <c r="K48" s="362"/>
      <c r="L48" s="359">
        <f t="shared" si="29"/>
        <v>1988.8117004276846</v>
      </c>
      <c r="M48" s="362"/>
      <c r="N48" s="362"/>
      <c r="O48" s="362"/>
      <c r="P48" s="362">
        <v>674.58043053629058</v>
      </c>
      <c r="Q48" s="362"/>
      <c r="R48" s="362"/>
      <c r="S48" s="362"/>
      <c r="T48" s="362">
        <v>1.8520724281984335</v>
      </c>
      <c r="U48" s="362">
        <v>1312.3791974631956</v>
      </c>
      <c r="V48" s="362"/>
      <c r="W48" s="358"/>
      <c r="X48" s="358"/>
      <c r="Y48" s="358"/>
      <c r="Z48" s="362"/>
      <c r="AA48" s="365"/>
      <c r="AB48" s="363">
        <f t="shared" si="30"/>
        <v>78.598025526444061</v>
      </c>
      <c r="AC48" s="364"/>
      <c r="AD48" s="362"/>
      <c r="AE48" s="362"/>
      <c r="AF48" s="362"/>
      <c r="AG48" s="362"/>
      <c r="AH48" s="362"/>
      <c r="AI48" s="362">
        <v>56.260518314631256</v>
      </c>
      <c r="AJ48" s="362">
        <v>22.33750721181281</v>
      </c>
      <c r="AK48" s="360"/>
      <c r="AL48" s="358"/>
      <c r="AM48" s="362"/>
      <c r="AN48" s="359"/>
      <c r="AO48" s="365">
        <v>1.0652907432262495</v>
      </c>
      <c r="AP48" s="363"/>
      <c r="AQ48" s="366">
        <f t="shared" si="13"/>
        <v>2068.4750166973549</v>
      </c>
    </row>
    <row r="49" spans="1:45" ht="12.75" customHeight="1">
      <c r="A49" s="510" t="s">
        <v>278</v>
      </c>
      <c r="B49" s="354"/>
      <c r="C49" s="355">
        <f t="shared" si="27"/>
        <v>0</v>
      </c>
      <c r="D49" s="356"/>
      <c r="E49" s="367"/>
      <c r="F49" s="358"/>
      <c r="G49" s="358"/>
      <c r="H49" s="359">
        <f t="shared" si="28"/>
        <v>0</v>
      </c>
      <c r="I49" s="360"/>
      <c r="J49" s="361"/>
      <c r="K49" s="362"/>
      <c r="L49" s="359">
        <f t="shared" si="29"/>
        <v>132.19128758585111</v>
      </c>
      <c r="M49" s="362"/>
      <c r="N49" s="362"/>
      <c r="O49" s="362"/>
      <c r="P49" s="362">
        <v>6.5053363986760129</v>
      </c>
      <c r="Q49" s="362"/>
      <c r="R49" s="362"/>
      <c r="S49" s="362"/>
      <c r="T49" s="362"/>
      <c r="U49" s="362">
        <v>125.68595118717511</v>
      </c>
      <c r="V49" s="362"/>
      <c r="W49" s="358"/>
      <c r="X49" s="358"/>
      <c r="Y49" s="358"/>
      <c r="Z49" s="362"/>
      <c r="AA49" s="365"/>
      <c r="AB49" s="363">
        <f t="shared" si="30"/>
        <v>5.6034563359273175</v>
      </c>
      <c r="AC49" s="364"/>
      <c r="AD49" s="362"/>
      <c r="AE49" s="362"/>
      <c r="AF49" s="362"/>
      <c r="AG49" s="362"/>
      <c r="AH49" s="362"/>
      <c r="AI49" s="362">
        <v>5.3880439223102039</v>
      </c>
      <c r="AJ49" s="362">
        <v>0.21541241361711327</v>
      </c>
      <c r="AK49" s="360"/>
      <c r="AL49" s="358"/>
      <c r="AM49" s="362"/>
      <c r="AN49" s="359"/>
      <c r="AO49" s="365"/>
      <c r="AP49" s="363"/>
      <c r="AQ49" s="366">
        <f t="shared" si="13"/>
        <v>137.79474392177843</v>
      </c>
    </row>
    <row r="50" spans="1:45" ht="12.75" customHeight="1">
      <c r="A50" s="510" t="s">
        <v>279</v>
      </c>
      <c r="B50" s="354"/>
      <c r="C50" s="355">
        <f t="shared" si="27"/>
        <v>0</v>
      </c>
      <c r="D50" s="356"/>
      <c r="E50" s="367"/>
      <c r="F50" s="358"/>
      <c r="G50" s="358"/>
      <c r="H50" s="359">
        <f t="shared" si="28"/>
        <v>0</v>
      </c>
      <c r="I50" s="360"/>
      <c r="J50" s="361"/>
      <c r="K50" s="362"/>
      <c r="L50" s="359">
        <f t="shared" si="29"/>
        <v>38.043221783939138</v>
      </c>
      <c r="M50" s="362"/>
      <c r="N50" s="362"/>
      <c r="O50" s="362"/>
      <c r="P50" s="362"/>
      <c r="Q50" s="362"/>
      <c r="R50" s="534"/>
      <c r="S50" s="362"/>
      <c r="T50" s="362"/>
      <c r="U50" s="362">
        <v>38.043221783939138</v>
      </c>
      <c r="V50" s="362"/>
      <c r="W50" s="358"/>
      <c r="X50" s="358"/>
      <c r="Y50" s="358"/>
      <c r="Z50" s="362"/>
      <c r="AA50" s="365"/>
      <c r="AB50" s="363">
        <f t="shared" si="30"/>
        <v>0</v>
      </c>
      <c r="AC50" s="364"/>
      <c r="AD50" s="362"/>
      <c r="AE50" s="362"/>
      <c r="AF50" s="362"/>
      <c r="AG50" s="362"/>
      <c r="AH50" s="362"/>
      <c r="AI50" s="362">
        <v>0</v>
      </c>
      <c r="AJ50" s="362"/>
      <c r="AK50" s="360"/>
      <c r="AL50" s="358"/>
      <c r="AM50" s="362"/>
      <c r="AN50" s="359"/>
      <c r="AO50" s="365">
        <v>4.30809088</v>
      </c>
      <c r="AP50" s="363"/>
      <c r="AQ50" s="366">
        <f t="shared" si="13"/>
        <v>42.35131266393914</v>
      </c>
    </row>
    <row r="51" spans="1:45" ht="12.75" customHeight="1">
      <c r="A51" s="510" t="s">
        <v>280</v>
      </c>
      <c r="B51" s="354"/>
      <c r="C51" s="355">
        <f t="shared" si="27"/>
        <v>0</v>
      </c>
      <c r="D51" s="356"/>
      <c r="E51" s="367"/>
      <c r="F51" s="358"/>
      <c r="G51" s="358"/>
      <c r="H51" s="359">
        <f t="shared" si="28"/>
        <v>0</v>
      </c>
      <c r="I51" s="360"/>
      <c r="J51" s="361"/>
      <c r="K51" s="362"/>
      <c r="L51" s="359">
        <f t="shared" si="29"/>
        <v>5.5768892778871395</v>
      </c>
      <c r="M51" s="362"/>
      <c r="N51" s="362"/>
      <c r="O51" s="362"/>
      <c r="P51" s="362">
        <v>0.66818888888888883</v>
      </c>
      <c r="Q51" s="362"/>
      <c r="R51" s="362">
        <v>4.908700388998251</v>
      </c>
      <c r="S51" s="362"/>
      <c r="T51" s="362"/>
      <c r="U51" s="362"/>
      <c r="V51" s="362"/>
      <c r="W51" s="358"/>
      <c r="X51" s="358"/>
      <c r="Y51" s="358"/>
      <c r="Z51" s="362"/>
      <c r="AA51" s="365"/>
      <c r="AB51" s="363">
        <f t="shared" si="30"/>
        <v>0</v>
      </c>
      <c r="AC51" s="364"/>
      <c r="AD51" s="362"/>
      <c r="AE51" s="362"/>
      <c r="AF51" s="362"/>
      <c r="AG51" s="362"/>
      <c r="AH51" s="362"/>
      <c r="AI51" s="362"/>
      <c r="AJ51" s="362"/>
      <c r="AK51" s="360"/>
      <c r="AL51" s="358"/>
      <c r="AM51" s="362"/>
      <c r="AN51" s="359"/>
      <c r="AO51" s="365"/>
      <c r="AP51" s="363"/>
      <c r="AQ51" s="366">
        <f t="shared" si="13"/>
        <v>5.5768892778871395</v>
      </c>
    </row>
    <row r="52" spans="1:45" ht="12.75" customHeight="1">
      <c r="A52" s="510" t="s">
        <v>281</v>
      </c>
      <c r="B52" s="514"/>
      <c r="C52" s="535">
        <f t="shared" si="27"/>
        <v>0</v>
      </c>
      <c r="D52" s="534"/>
      <c r="E52" s="534"/>
      <c r="F52" s="536"/>
      <c r="G52" s="536"/>
      <c r="H52" s="537">
        <f t="shared" si="28"/>
        <v>0</v>
      </c>
      <c r="I52" s="538"/>
      <c r="J52" s="539"/>
      <c r="K52" s="534"/>
      <c r="L52" s="537">
        <f t="shared" si="29"/>
        <v>1097.9355056907616</v>
      </c>
      <c r="M52" s="534"/>
      <c r="N52" s="534"/>
      <c r="O52" s="534"/>
      <c r="P52" s="416"/>
      <c r="Q52" s="534"/>
      <c r="R52" s="534">
        <v>1097.9355056907616</v>
      </c>
      <c r="S52" s="534"/>
      <c r="T52" s="534"/>
      <c r="U52" s="534"/>
      <c r="V52" s="534"/>
      <c r="W52" s="536"/>
      <c r="X52" s="536"/>
      <c r="Y52" s="536"/>
      <c r="Z52" s="534"/>
      <c r="AA52" s="515"/>
      <c r="AB52" s="540">
        <f t="shared" si="30"/>
        <v>0</v>
      </c>
      <c r="AC52" s="541"/>
      <c r="AD52" s="534"/>
      <c r="AE52" s="534"/>
      <c r="AF52" s="534"/>
      <c r="AG52" s="534"/>
      <c r="AH52" s="534"/>
      <c r="AI52" s="534"/>
      <c r="AJ52" s="534"/>
      <c r="AK52" s="505"/>
      <c r="AL52" s="507"/>
      <c r="AM52" s="534"/>
      <c r="AN52" s="515"/>
      <c r="AO52" s="515"/>
      <c r="AP52" s="540"/>
      <c r="AQ52" s="542">
        <f t="shared" si="13"/>
        <v>1097.9355056907616</v>
      </c>
    </row>
    <row r="53" spans="1:45" ht="12.75" customHeight="1">
      <c r="A53" s="510" t="s">
        <v>282</v>
      </c>
      <c r="B53" s="514"/>
      <c r="C53" s="535">
        <f t="shared" si="27"/>
        <v>0</v>
      </c>
      <c r="D53" s="538"/>
      <c r="E53" s="534"/>
      <c r="F53" s="536"/>
      <c r="G53" s="536"/>
      <c r="H53" s="537">
        <f t="shared" si="28"/>
        <v>0</v>
      </c>
      <c r="I53" s="538"/>
      <c r="J53" s="539"/>
      <c r="K53" s="534"/>
      <c r="L53" s="537">
        <f t="shared" si="29"/>
        <v>176.59351048332516</v>
      </c>
      <c r="M53" s="534"/>
      <c r="N53" s="534"/>
      <c r="O53" s="534"/>
      <c r="P53" s="534">
        <v>0</v>
      </c>
      <c r="Q53" s="534"/>
      <c r="R53" s="534"/>
      <c r="S53" s="534"/>
      <c r="T53" s="534"/>
      <c r="U53" s="534">
        <v>176.59351048332516</v>
      </c>
      <c r="V53" s="534"/>
      <c r="W53" s="536"/>
      <c r="X53" s="536"/>
      <c r="Y53" s="536"/>
      <c r="Z53" s="534"/>
      <c r="AA53" s="515"/>
      <c r="AB53" s="540">
        <f t="shared" si="30"/>
        <v>7.570405299014781</v>
      </c>
      <c r="AC53" s="541"/>
      <c r="AD53" s="534"/>
      <c r="AE53" s="534"/>
      <c r="AF53" s="534"/>
      <c r="AG53" s="534"/>
      <c r="AH53" s="534"/>
      <c r="AI53" s="362">
        <v>7.570405299014781</v>
      </c>
      <c r="AJ53" s="362">
        <v>0</v>
      </c>
      <c r="AK53" s="534"/>
      <c r="AL53" s="534"/>
      <c r="AM53" s="534"/>
      <c r="AN53" s="515"/>
      <c r="AO53" s="365"/>
      <c r="AP53" s="540"/>
      <c r="AQ53" s="542">
        <f t="shared" si="13"/>
        <v>184.16391578233996</v>
      </c>
    </row>
    <row r="54" spans="1:45" ht="12.75" customHeight="1">
      <c r="A54" s="353" t="s">
        <v>283</v>
      </c>
      <c r="B54" s="354"/>
      <c r="C54" s="535">
        <f t="shared" si="27"/>
        <v>0</v>
      </c>
      <c r="D54" s="538"/>
      <c r="E54" s="534"/>
      <c r="F54" s="536"/>
      <c r="G54" s="536"/>
      <c r="H54" s="537">
        <f t="shared" si="28"/>
        <v>0</v>
      </c>
      <c r="I54" s="538"/>
      <c r="J54" s="539"/>
      <c r="K54" s="534"/>
      <c r="L54" s="537">
        <f t="shared" si="29"/>
        <v>83.913724293678101</v>
      </c>
      <c r="M54" s="534"/>
      <c r="N54" s="534"/>
      <c r="O54" s="534"/>
      <c r="P54" s="534"/>
      <c r="Q54" s="534"/>
      <c r="R54" s="534"/>
      <c r="S54" s="534"/>
      <c r="T54" s="534"/>
      <c r="U54" s="534">
        <v>83.913724293678101</v>
      </c>
      <c r="V54" s="534"/>
      <c r="W54" s="536"/>
      <c r="X54" s="536"/>
      <c r="Y54" s="536"/>
      <c r="Z54" s="534"/>
      <c r="AA54" s="467"/>
      <c r="AB54" s="540">
        <f t="shared" si="30"/>
        <v>0</v>
      </c>
      <c r="AC54" s="541"/>
      <c r="AD54" s="534"/>
      <c r="AE54" s="534"/>
      <c r="AF54" s="534"/>
      <c r="AG54" s="534"/>
      <c r="AH54" s="534"/>
      <c r="AI54" s="534"/>
      <c r="AJ54" s="534"/>
      <c r="AK54" s="534"/>
      <c r="AL54" s="534"/>
      <c r="AM54" s="534"/>
      <c r="AN54" s="467"/>
      <c r="AO54" s="515"/>
      <c r="AP54" s="540"/>
      <c r="AQ54" s="542">
        <f t="shared" si="13"/>
        <v>83.913724293678101</v>
      </c>
    </row>
    <row r="55" spans="1:45" ht="12.75" customHeight="1">
      <c r="A55" s="417" t="s">
        <v>284</v>
      </c>
      <c r="B55" s="418"/>
      <c r="C55" s="419">
        <f t="shared" si="27"/>
        <v>0</v>
      </c>
      <c r="D55" s="543"/>
      <c r="E55" s="544"/>
      <c r="F55" s="422"/>
      <c r="G55" s="422"/>
      <c r="H55" s="423">
        <f t="shared" si="28"/>
        <v>0</v>
      </c>
      <c r="I55" s="420"/>
      <c r="J55" s="424"/>
      <c r="K55" s="421"/>
      <c r="L55" s="423">
        <f t="shared" si="29"/>
        <v>456.8260488931312</v>
      </c>
      <c r="M55" s="421"/>
      <c r="N55" s="421"/>
      <c r="O55" s="421"/>
      <c r="P55" s="421">
        <v>142.49106809811542</v>
      </c>
      <c r="Q55" s="421"/>
      <c r="R55" s="421"/>
      <c r="S55" s="421">
        <v>0</v>
      </c>
      <c r="T55" s="421"/>
      <c r="U55" s="421">
        <v>314.33498079501578</v>
      </c>
      <c r="V55" s="421"/>
      <c r="W55" s="422"/>
      <c r="X55" s="422"/>
      <c r="Y55" s="422"/>
      <c r="Z55" s="421"/>
      <c r="AA55" s="427">
        <v>22.531112229915806</v>
      </c>
      <c r="AB55" s="425">
        <f t="shared" si="30"/>
        <v>18.193591735516275</v>
      </c>
      <c r="AC55" s="426"/>
      <c r="AD55" s="421"/>
      <c r="AE55" s="421"/>
      <c r="AF55" s="421"/>
      <c r="AG55" s="421"/>
      <c r="AH55" s="421"/>
      <c r="AI55" s="421">
        <v>13.475258506178202</v>
      </c>
      <c r="AJ55" s="421">
        <v>4.7183332293380724</v>
      </c>
      <c r="AK55" s="420"/>
      <c r="AL55" s="422"/>
      <c r="AM55" s="421"/>
      <c r="AN55" s="423"/>
      <c r="AO55" s="427"/>
      <c r="AP55" s="425"/>
      <c r="AQ55" s="428">
        <f t="shared" si="13"/>
        <v>497.55075285856333</v>
      </c>
    </row>
    <row r="56" spans="1:45" s="84" customFormat="1" ht="12.75" customHeight="1">
      <c r="A56" s="545" t="s">
        <v>153</v>
      </c>
      <c r="B56" s="546"/>
      <c r="C56" s="547">
        <f t="shared" si="27"/>
        <v>216.79218330365393</v>
      </c>
      <c r="D56" s="548">
        <v>115.30751795563631</v>
      </c>
      <c r="E56" s="357">
        <v>89.647280058277374</v>
      </c>
      <c r="F56" s="549"/>
      <c r="G56" s="549">
        <v>11.837385289740231</v>
      </c>
      <c r="H56" s="550">
        <f t="shared" si="28"/>
        <v>196.53880633</v>
      </c>
      <c r="I56" s="548"/>
      <c r="J56" s="551">
        <v>127.70399999999999</v>
      </c>
      <c r="K56" s="439">
        <v>68.834806329999992</v>
      </c>
      <c r="L56" s="550">
        <f t="shared" si="29"/>
        <v>1254.8255059886615</v>
      </c>
      <c r="M56" s="439"/>
      <c r="N56" s="439"/>
      <c r="O56" s="439"/>
      <c r="P56" s="439">
        <v>0</v>
      </c>
      <c r="Q56" s="439">
        <v>865.67110107427072</v>
      </c>
      <c r="R56" s="439"/>
      <c r="S56" s="439">
        <v>0</v>
      </c>
      <c r="T56" s="439">
        <v>53.841522983216713</v>
      </c>
      <c r="U56" s="439">
        <v>329.909010207883</v>
      </c>
      <c r="V56" s="439">
        <v>5.4038717232911377</v>
      </c>
      <c r="W56" s="549"/>
      <c r="X56" s="549"/>
      <c r="Y56" s="549"/>
      <c r="Z56" s="439"/>
      <c r="AA56" s="550">
        <v>604.09375845912712</v>
      </c>
      <c r="AB56" s="552">
        <f t="shared" si="30"/>
        <v>71.026669556951646</v>
      </c>
      <c r="AC56" s="553"/>
      <c r="AD56" s="439"/>
      <c r="AE56" s="439">
        <v>29.776082158378955</v>
      </c>
      <c r="AF56" s="439"/>
      <c r="AG56" s="439"/>
      <c r="AH56" s="439"/>
      <c r="AI56" s="439"/>
      <c r="AJ56" s="439"/>
      <c r="AK56" s="548"/>
      <c r="AL56" s="549">
        <v>13.379590942008413</v>
      </c>
      <c r="AM56" s="439">
        <v>27.870996456564281</v>
      </c>
      <c r="AN56" s="550"/>
      <c r="AO56" s="550">
        <v>702.94473599999992</v>
      </c>
      <c r="AP56" s="552"/>
      <c r="AQ56" s="440">
        <f t="shared" si="13"/>
        <v>3046.2216596383942</v>
      </c>
      <c r="AR56" s="80"/>
      <c r="AS56" s="83"/>
    </row>
    <row r="57" spans="1:45" s="84" customFormat="1" ht="12.75" customHeight="1">
      <c r="A57" s="545" t="s">
        <v>285</v>
      </c>
      <c r="B57" s="546"/>
      <c r="C57" s="547">
        <f>C58+C65</f>
        <v>0.51992180451127823</v>
      </c>
      <c r="D57" s="439">
        <f t="shared" ref="D57:AP57" si="31">D58+D65</f>
        <v>0.51992180451127823</v>
      </c>
      <c r="E57" s="439">
        <f t="shared" si="31"/>
        <v>0</v>
      </c>
      <c r="F57" s="549">
        <f t="shared" si="31"/>
        <v>0</v>
      </c>
      <c r="G57" s="549">
        <f t="shared" si="31"/>
        <v>0</v>
      </c>
      <c r="H57" s="550">
        <f t="shared" si="31"/>
        <v>0</v>
      </c>
      <c r="I57" s="548">
        <f t="shared" si="31"/>
        <v>0</v>
      </c>
      <c r="J57" s="548">
        <f t="shared" si="31"/>
        <v>0</v>
      </c>
      <c r="K57" s="548">
        <f t="shared" si="31"/>
        <v>0</v>
      </c>
      <c r="L57" s="550">
        <f t="shared" si="31"/>
        <v>240.86725727408077</v>
      </c>
      <c r="M57" s="439">
        <f t="shared" si="31"/>
        <v>0</v>
      </c>
      <c r="N57" s="439">
        <f t="shared" si="31"/>
        <v>0</v>
      </c>
      <c r="O57" s="439">
        <f t="shared" si="31"/>
        <v>0</v>
      </c>
      <c r="P57" s="439">
        <f t="shared" si="31"/>
        <v>0</v>
      </c>
      <c r="Q57" s="439">
        <f t="shared" si="31"/>
        <v>62.827000000000005</v>
      </c>
      <c r="R57" s="439">
        <f t="shared" si="31"/>
        <v>0</v>
      </c>
      <c r="S57" s="439">
        <f t="shared" si="31"/>
        <v>0.64284746861564912</v>
      </c>
      <c r="T57" s="439">
        <f t="shared" si="31"/>
        <v>70.524409805465098</v>
      </c>
      <c r="U57" s="439">
        <f t="shared" si="31"/>
        <v>106.87300000000002</v>
      </c>
      <c r="V57" s="439">
        <f t="shared" si="31"/>
        <v>0</v>
      </c>
      <c r="W57" s="549">
        <f t="shared" si="31"/>
        <v>0</v>
      </c>
      <c r="X57" s="549">
        <f t="shared" si="31"/>
        <v>0</v>
      </c>
      <c r="Y57" s="549">
        <f t="shared" si="31"/>
        <v>0</v>
      </c>
      <c r="Z57" s="548">
        <f t="shared" si="31"/>
        <v>0</v>
      </c>
      <c r="AA57" s="550">
        <f t="shared" si="31"/>
        <v>328.6198962047896</v>
      </c>
      <c r="AB57" s="552">
        <f t="shared" si="31"/>
        <v>39.433814247868156</v>
      </c>
      <c r="AC57" s="553">
        <f t="shared" si="31"/>
        <v>0</v>
      </c>
      <c r="AD57" s="439">
        <f t="shared" si="31"/>
        <v>0</v>
      </c>
      <c r="AE57" s="439">
        <f t="shared" si="31"/>
        <v>17.99312324724</v>
      </c>
      <c r="AF57" s="439">
        <f t="shared" si="31"/>
        <v>0</v>
      </c>
      <c r="AG57" s="439">
        <f t="shared" si="31"/>
        <v>0</v>
      </c>
      <c r="AH57" s="439">
        <f t="shared" si="31"/>
        <v>5.621744734795584</v>
      </c>
      <c r="AI57" s="439">
        <f t="shared" si="31"/>
        <v>0</v>
      </c>
      <c r="AJ57" s="439">
        <f t="shared" si="31"/>
        <v>0</v>
      </c>
      <c r="AK57" s="439">
        <f t="shared" si="31"/>
        <v>0</v>
      </c>
      <c r="AL57" s="439">
        <f t="shared" si="31"/>
        <v>0.16649466165720572</v>
      </c>
      <c r="AM57" s="548">
        <f t="shared" si="31"/>
        <v>15.65245160417537</v>
      </c>
      <c r="AN57" s="550">
        <f t="shared" si="31"/>
        <v>0</v>
      </c>
      <c r="AO57" s="550">
        <f t="shared" si="31"/>
        <v>1078.743765043014</v>
      </c>
      <c r="AP57" s="552">
        <f t="shared" si="31"/>
        <v>0</v>
      </c>
      <c r="AQ57" s="554">
        <f t="shared" si="13"/>
        <v>1688.184654574264</v>
      </c>
      <c r="AR57" s="80"/>
      <c r="AS57" s="83"/>
    </row>
    <row r="58" spans="1:45" ht="12.75" customHeight="1">
      <c r="A58" s="545" t="s">
        <v>286</v>
      </c>
      <c r="B58" s="546"/>
      <c r="C58" s="547">
        <f t="shared" si="27"/>
        <v>0.5149225563909775</v>
      </c>
      <c r="D58" s="553">
        <v>0.5149225563909775</v>
      </c>
      <c r="E58" s="552">
        <v>0</v>
      </c>
      <c r="F58" s="552">
        <f>SUM(F59:F64)</f>
        <v>0</v>
      </c>
      <c r="G58" s="555">
        <v>0</v>
      </c>
      <c r="H58" s="550">
        <f t="shared" si="28"/>
        <v>0</v>
      </c>
      <c r="I58" s="548">
        <f>SUM(I59:I64)</f>
        <v>0</v>
      </c>
      <c r="J58" s="556">
        <f>SUM(J59:J64)</f>
        <v>0</v>
      </c>
      <c r="K58" s="548">
        <f>SUM(K59:K64)</f>
        <v>0</v>
      </c>
      <c r="L58" s="550">
        <f t="shared" si="29"/>
        <v>109.16310972047087</v>
      </c>
      <c r="M58" s="439">
        <f t="shared" ref="M58:AN58" si="32">SUM(M59:M64)</f>
        <v>0</v>
      </c>
      <c r="N58" s="549">
        <f t="shared" si="32"/>
        <v>0</v>
      </c>
      <c r="O58" s="549">
        <f t="shared" si="32"/>
        <v>0</v>
      </c>
      <c r="P58" s="552">
        <f t="shared" si="32"/>
        <v>0</v>
      </c>
      <c r="Q58" s="552">
        <v>15.841000000000001</v>
      </c>
      <c r="R58" s="552">
        <f t="shared" si="32"/>
        <v>0</v>
      </c>
      <c r="S58" s="552">
        <v>0</v>
      </c>
      <c r="T58" s="552">
        <v>41.074109720470858</v>
      </c>
      <c r="U58" s="552">
        <v>52.248000000000012</v>
      </c>
      <c r="V58" s="552">
        <f t="shared" si="32"/>
        <v>0</v>
      </c>
      <c r="W58" s="552">
        <f t="shared" si="32"/>
        <v>0</v>
      </c>
      <c r="X58" s="552">
        <f t="shared" si="32"/>
        <v>0</v>
      </c>
      <c r="Y58" s="549">
        <f t="shared" si="32"/>
        <v>0</v>
      </c>
      <c r="Z58" s="548">
        <f t="shared" si="32"/>
        <v>0</v>
      </c>
      <c r="AA58" s="550">
        <v>206.51565457653467</v>
      </c>
      <c r="AB58" s="552">
        <f t="shared" si="30"/>
        <v>20.523795887314584</v>
      </c>
      <c r="AC58" s="553">
        <f t="shared" si="32"/>
        <v>0</v>
      </c>
      <c r="AD58" s="439">
        <f t="shared" si="32"/>
        <v>0</v>
      </c>
      <c r="AE58" s="439">
        <f t="shared" si="32"/>
        <v>3.9004188670820072</v>
      </c>
      <c r="AF58" s="439"/>
      <c r="AG58" s="439">
        <f t="shared" si="32"/>
        <v>0</v>
      </c>
      <c r="AH58" s="439">
        <f t="shared" si="32"/>
        <v>0.80443075440000011</v>
      </c>
      <c r="AI58" s="439">
        <f t="shared" si="32"/>
        <v>0</v>
      </c>
      <c r="AJ58" s="439">
        <f t="shared" si="32"/>
        <v>0</v>
      </c>
      <c r="AK58" s="439"/>
      <c r="AL58" s="439">
        <v>0.16649466165720572</v>
      </c>
      <c r="AM58" s="549">
        <v>15.65245160417537</v>
      </c>
      <c r="AN58" s="550">
        <f t="shared" si="32"/>
        <v>0</v>
      </c>
      <c r="AO58" s="550">
        <v>828.90452168344279</v>
      </c>
      <c r="AP58" s="552">
        <f t="shared" ref="AP58" si="33">SUM(AP59:AP64)</f>
        <v>0</v>
      </c>
      <c r="AQ58" s="554">
        <f t="shared" si="13"/>
        <v>1165.6220044241538</v>
      </c>
    </row>
    <row r="59" spans="1:45" ht="12.75" customHeight="1">
      <c r="A59" s="353" t="s">
        <v>287</v>
      </c>
      <c r="B59" s="557" t="s">
        <v>288</v>
      </c>
      <c r="C59" s="406">
        <f t="shared" si="27"/>
        <v>3.9993984962406011E-3</v>
      </c>
      <c r="D59" s="364">
        <v>3.9993984962406011E-3</v>
      </c>
      <c r="E59" s="412"/>
      <c r="F59" s="412"/>
      <c r="G59" s="455"/>
      <c r="H59" s="410">
        <f t="shared" si="28"/>
        <v>0</v>
      </c>
      <c r="I59" s="530"/>
      <c r="J59" s="558"/>
      <c r="K59" s="530"/>
      <c r="L59" s="410">
        <f t="shared" si="29"/>
        <v>29.110393287676398</v>
      </c>
      <c r="M59" s="457"/>
      <c r="N59" s="559"/>
      <c r="O59" s="559"/>
      <c r="P59" s="412"/>
      <c r="Q59" s="512">
        <v>6.548</v>
      </c>
      <c r="R59" s="412"/>
      <c r="S59" s="512">
        <v>0</v>
      </c>
      <c r="T59" s="512">
        <v>11.487393287676401</v>
      </c>
      <c r="U59" s="512">
        <v>11.074999999999999</v>
      </c>
      <c r="V59" s="512">
        <v>0</v>
      </c>
      <c r="W59" s="412"/>
      <c r="X59" s="412"/>
      <c r="Y59" s="559"/>
      <c r="Z59" s="530"/>
      <c r="AA59" s="365">
        <v>52.670839129321678</v>
      </c>
      <c r="AB59" s="412">
        <f t="shared" si="30"/>
        <v>1.2953271877604666</v>
      </c>
      <c r="AC59" s="560"/>
      <c r="AD59" s="457"/>
      <c r="AE59" s="408">
        <v>1.2953271877604666</v>
      </c>
      <c r="AF59" s="408"/>
      <c r="AG59" s="408"/>
      <c r="AH59" s="408">
        <v>0</v>
      </c>
      <c r="AI59" s="408"/>
      <c r="AJ59" s="408"/>
      <c r="AK59" s="408"/>
      <c r="AL59" s="408">
        <v>0</v>
      </c>
      <c r="AM59" s="409">
        <v>0</v>
      </c>
      <c r="AN59" s="410"/>
      <c r="AO59" s="365">
        <v>225.7085564993871</v>
      </c>
      <c r="AP59" s="412"/>
      <c r="AQ59" s="441">
        <f t="shared" si="13"/>
        <v>308.78911550264189</v>
      </c>
    </row>
    <row r="60" spans="1:45" ht="12.75" customHeight="1">
      <c r="A60" s="353" t="s">
        <v>289</v>
      </c>
      <c r="B60" s="557" t="s">
        <v>290</v>
      </c>
      <c r="C60" s="355">
        <f t="shared" si="27"/>
        <v>8.9986466165413535E-3</v>
      </c>
      <c r="D60" s="364">
        <v>8.9986466165413535E-3</v>
      </c>
      <c r="E60" s="363"/>
      <c r="F60" s="363"/>
      <c r="G60" s="561"/>
      <c r="H60" s="359">
        <f t="shared" si="28"/>
        <v>0</v>
      </c>
      <c r="I60" s="356"/>
      <c r="J60" s="562"/>
      <c r="K60" s="356"/>
      <c r="L60" s="359">
        <f t="shared" si="29"/>
        <v>24.503931093823979</v>
      </c>
      <c r="M60" s="367"/>
      <c r="N60" s="357"/>
      <c r="O60" s="357"/>
      <c r="P60" s="363"/>
      <c r="Q60" s="512">
        <v>1.2709999999999999</v>
      </c>
      <c r="R60" s="363"/>
      <c r="S60" s="512">
        <v>0</v>
      </c>
      <c r="T60" s="512">
        <v>1.9979310938239756</v>
      </c>
      <c r="U60" s="512">
        <v>21.235000000000003</v>
      </c>
      <c r="V60" s="512">
        <v>0</v>
      </c>
      <c r="W60" s="363"/>
      <c r="X60" s="363"/>
      <c r="Y60" s="357"/>
      <c r="Z60" s="356"/>
      <c r="AA60" s="365">
        <v>23.743479725066276</v>
      </c>
      <c r="AB60" s="363">
        <f t="shared" si="30"/>
        <v>1.138556689715082E-2</v>
      </c>
      <c r="AC60" s="563"/>
      <c r="AD60" s="367"/>
      <c r="AE60" s="362">
        <v>1.138556689715082E-2</v>
      </c>
      <c r="AF60" s="362"/>
      <c r="AG60" s="362"/>
      <c r="AH60" s="362">
        <v>0</v>
      </c>
      <c r="AI60" s="362"/>
      <c r="AJ60" s="362"/>
      <c r="AK60" s="362"/>
      <c r="AL60" s="362">
        <v>0</v>
      </c>
      <c r="AM60" s="358">
        <v>0</v>
      </c>
      <c r="AN60" s="359"/>
      <c r="AO60" s="365">
        <v>81.932675558202874</v>
      </c>
      <c r="AP60" s="363"/>
      <c r="AQ60" s="366">
        <f t="shared" si="13"/>
        <v>130.20047059060681</v>
      </c>
    </row>
    <row r="61" spans="1:45" ht="12.75" customHeight="1">
      <c r="A61" s="353" t="s">
        <v>291</v>
      </c>
      <c r="B61" s="557" t="s">
        <v>292</v>
      </c>
      <c r="C61" s="355">
        <f t="shared" si="27"/>
        <v>0.42993533834586467</v>
      </c>
      <c r="D61" s="364">
        <v>0.42993533834586467</v>
      </c>
      <c r="E61" s="363"/>
      <c r="F61" s="363"/>
      <c r="G61" s="561"/>
      <c r="H61" s="359">
        <f t="shared" si="28"/>
        <v>0</v>
      </c>
      <c r="I61" s="356"/>
      <c r="J61" s="562"/>
      <c r="K61" s="356"/>
      <c r="L61" s="359">
        <f t="shared" si="29"/>
        <v>27.815960601382685</v>
      </c>
      <c r="M61" s="367"/>
      <c r="N61" s="357"/>
      <c r="O61" s="357"/>
      <c r="P61" s="363"/>
      <c r="Q61" s="512">
        <v>3.399</v>
      </c>
      <c r="R61" s="363"/>
      <c r="S61" s="512">
        <v>0</v>
      </c>
      <c r="T61" s="512">
        <v>19.454960601382684</v>
      </c>
      <c r="U61" s="512">
        <v>4.9619999999999997</v>
      </c>
      <c r="V61" s="512">
        <v>0</v>
      </c>
      <c r="W61" s="363"/>
      <c r="X61" s="363"/>
      <c r="Y61" s="357"/>
      <c r="Z61" s="356"/>
      <c r="AA61" s="365">
        <v>30.235657033103141</v>
      </c>
      <c r="AB61" s="363">
        <f t="shared" si="30"/>
        <v>0.86179983283049288</v>
      </c>
      <c r="AC61" s="563"/>
      <c r="AD61" s="367"/>
      <c r="AE61" s="362">
        <v>0.86179983283049288</v>
      </c>
      <c r="AF61" s="362"/>
      <c r="AG61" s="362"/>
      <c r="AH61" s="362">
        <v>0</v>
      </c>
      <c r="AI61" s="362"/>
      <c r="AJ61" s="362"/>
      <c r="AK61" s="362"/>
      <c r="AL61" s="362">
        <v>0</v>
      </c>
      <c r="AM61" s="358">
        <v>0</v>
      </c>
      <c r="AN61" s="359"/>
      <c r="AO61" s="365">
        <v>126.36748353090987</v>
      </c>
      <c r="AP61" s="363"/>
      <c r="AQ61" s="366">
        <f t="shared" si="13"/>
        <v>185.71083633657204</v>
      </c>
      <c r="AS61" s="171"/>
    </row>
    <row r="62" spans="1:45" ht="12.75" customHeight="1">
      <c r="A62" s="353" t="s">
        <v>293</v>
      </c>
      <c r="B62" s="557" t="s">
        <v>294</v>
      </c>
      <c r="C62" s="355">
        <f t="shared" si="27"/>
        <v>6.9989473684210534E-3</v>
      </c>
      <c r="D62" s="364">
        <v>6.9989473684210534E-3</v>
      </c>
      <c r="E62" s="363"/>
      <c r="F62" s="363"/>
      <c r="G62" s="561"/>
      <c r="H62" s="359">
        <f t="shared" si="28"/>
        <v>0</v>
      </c>
      <c r="I62" s="356"/>
      <c r="J62" s="562"/>
      <c r="K62" s="356"/>
      <c r="L62" s="359">
        <f t="shared" si="29"/>
        <v>2.6967648223282072</v>
      </c>
      <c r="M62" s="367"/>
      <c r="N62" s="357"/>
      <c r="O62" s="357"/>
      <c r="P62" s="363"/>
      <c r="Q62" s="512">
        <v>0.36299999999999999</v>
      </c>
      <c r="R62" s="363"/>
      <c r="S62" s="512">
        <v>0</v>
      </c>
      <c r="T62" s="512">
        <v>0.71476482232820748</v>
      </c>
      <c r="U62" s="512">
        <v>1.619</v>
      </c>
      <c r="V62" s="512">
        <v>0</v>
      </c>
      <c r="W62" s="363"/>
      <c r="X62" s="363"/>
      <c r="Y62" s="357"/>
      <c r="Z62" s="356"/>
      <c r="AA62" s="365">
        <v>12.942534033472208</v>
      </c>
      <c r="AB62" s="363">
        <f t="shared" si="30"/>
        <v>4.6418080426845656E-2</v>
      </c>
      <c r="AC62" s="563"/>
      <c r="AD62" s="367"/>
      <c r="AE62" s="362">
        <v>4.6418080426845656E-2</v>
      </c>
      <c r="AF62" s="362"/>
      <c r="AG62" s="362"/>
      <c r="AH62" s="362">
        <v>0</v>
      </c>
      <c r="AI62" s="362"/>
      <c r="AJ62" s="362"/>
      <c r="AK62" s="362"/>
      <c r="AL62" s="362">
        <v>0</v>
      </c>
      <c r="AM62" s="358">
        <v>0</v>
      </c>
      <c r="AN62" s="359"/>
      <c r="AO62" s="365">
        <v>234.42875082725587</v>
      </c>
      <c r="AP62" s="363"/>
      <c r="AQ62" s="366">
        <f t="shared" si="13"/>
        <v>250.12146671085156</v>
      </c>
      <c r="AS62" s="171"/>
    </row>
    <row r="63" spans="1:45" ht="12.75" customHeight="1">
      <c r="A63" s="353" t="s">
        <v>295</v>
      </c>
      <c r="B63" s="557" t="s">
        <v>296</v>
      </c>
      <c r="C63" s="355">
        <f t="shared" si="27"/>
        <v>5.799127819548873E-2</v>
      </c>
      <c r="D63" s="541">
        <v>5.799127819548873E-2</v>
      </c>
      <c r="E63" s="363"/>
      <c r="F63" s="363"/>
      <c r="G63" s="561"/>
      <c r="H63" s="359">
        <f t="shared" si="28"/>
        <v>0</v>
      </c>
      <c r="I63" s="356"/>
      <c r="J63" s="562"/>
      <c r="K63" s="356"/>
      <c r="L63" s="359">
        <f t="shared" si="29"/>
        <v>3.8680994311273493</v>
      </c>
      <c r="M63" s="367"/>
      <c r="N63" s="357"/>
      <c r="O63" s="357"/>
      <c r="P63" s="363"/>
      <c r="Q63" s="564">
        <v>0.68400000000000005</v>
      </c>
      <c r="R63" s="363"/>
      <c r="S63" s="564">
        <v>0</v>
      </c>
      <c r="T63" s="564">
        <v>0.16909943112734929</v>
      </c>
      <c r="U63" s="564">
        <v>3.0150000000000001</v>
      </c>
      <c r="V63" s="564">
        <v>0</v>
      </c>
      <c r="W63" s="363"/>
      <c r="X63" s="363"/>
      <c r="Y63" s="357"/>
      <c r="Z63" s="356"/>
      <c r="AA63" s="565">
        <v>11.636733155824563</v>
      </c>
      <c r="AB63" s="363">
        <f t="shared" si="30"/>
        <v>0.34769769678222129</v>
      </c>
      <c r="AC63" s="563"/>
      <c r="AD63" s="367"/>
      <c r="AE63" s="362">
        <v>0.34769769678222129</v>
      </c>
      <c r="AF63" s="362"/>
      <c r="AG63" s="362"/>
      <c r="AH63" s="362">
        <v>0</v>
      </c>
      <c r="AI63" s="362"/>
      <c r="AJ63" s="362"/>
      <c r="AK63" s="362"/>
      <c r="AL63" s="362">
        <v>0</v>
      </c>
      <c r="AM63" s="358">
        <v>0</v>
      </c>
      <c r="AN63" s="359"/>
      <c r="AO63" s="565">
        <v>42.659809837330151</v>
      </c>
      <c r="AP63" s="363"/>
      <c r="AQ63" s="366">
        <f t="shared" si="13"/>
        <v>58.570331399259771</v>
      </c>
      <c r="AS63" s="171"/>
    </row>
    <row r="64" spans="1:45" ht="12.75" customHeight="1">
      <c r="A64" s="417" t="s">
        <v>297</v>
      </c>
      <c r="B64" s="566"/>
      <c r="C64" s="419">
        <f t="shared" si="27"/>
        <v>6.9989473684210534E-3</v>
      </c>
      <c r="D64" s="541">
        <v>6.9989473684210534E-3</v>
      </c>
      <c r="E64" s="425"/>
      <c r="F64" s="425"/>
      <c r="G64" s="567"/>
      <c r="H64" s="423">
        <f t="shared" si="28"/>
        <v>0</v>
      </c>
      <c r="I64" s="543"/>
      <c r="J64" s="568"/>
      <c r="K64" s="543"/>
      <c r="L64" s="423">
        <f t="shared" si="29"/>
        <v>21.167960484132237</v>
      </c>
      <c r="M64" s="544"/>
      <c r="N64" s="569"/>
      <c r="O64" s="569"/>
      <c r="P64" s="425"/>
      <c r="Q64" s="564">
        <v>3.5760000000000001</v>
      </c>
      <c r="R64" s="425"/>
      <c r="S64" s="564">
        <v>0</v>
      </c>
      <c r="T64" s="564">
        <v>7.2499604841322363</v>
      </c>
      <c r="U64" s="564">
        <v>10.342000000000001</v>
      </c>
      <c r="V64" s="564">
        <v>0</v>
      </c>
      <c r="W64" s="425"/>
      <c r="X64" s="425"/>
      <c r="Y64" s="569"/>
      <c r="Z64" s="543"/>
      <c r="AA64" s="565">
        <v>75.286411499746805</v>
      </c>
      <c r="AB64" s="425">
        <f t="shared" si="30"/>
        <v>17.961167522617405</v>
      </c>
      <c r="AC64" s="570"/>
      <c r="AD64" s="544"/>
      <c r="AE64" s="421">
        <v>1.3377905023848295</v>
      </c>
      <c r="AF64" s="421"/>
      <c r="AG64" s="421"/>
      <c r="AH64" s="421">
        <v>0.80443075440000011</v>
      </c>
      <c r="AI64" s="421"/>
      <c r="AJ64" s="421"/>
      <c r="AK64" s="421"/>
      <c r="AL64" s="421">
        <v>0.16649466165720572</v>
      </c>
      <c r="AM64" s="422">
        <v>15.65245160417537</v>
      </c>
      <c r="AN64" s="423"/>
      <c r="AO64" s="565">
        <v>117.80724543035701</v>
      </c>
      <c r="AP64" s="425"/>
      <c r="AQ64" s="428">
        <f t="shared" si="13"/>
        <v>232.22978388422189</v>
      </c>
    </row>
    <row r="65" spans="1:45" ht="12.75" customHeight="1">
      <c r="A65" s="545" t="s">
        <v>298</v>
      </c>
      <c r="B65" s="546"/>
      <c r="C65" s="419">
        <f>SUM(D65:G65)</f>
        <v>4.9992481203007515E-3</v>
      </c>
      <c r="D65" s="553">
        <f>SUM(D66:D69)</f>
        <v>4.9992481203007515E-3</v>
      </c>
      <c r="E65" s="518"/>
      <c r="F65" s="518"/>
      <c r="G65" s="519"/>
      <c r="H65" s="423">
        <f>SUM(I65:K65)</f>
        <v>0</v>
      </c>
      <c r="I65" s="420"/>
      <c r="J65" s="424">
        <v>0</v>
      </c>
      <c r="K65" s="421">
        <v>0</v>
      </c>
      <c r="L65" s="423">
        <f>SUM(M65:Z65)</f>
        <v>131.70414755360989</v>
      </c>
      <c r="M65" s="421"/>
      <c r="N65" s="422"/>
      <c r="O65" s="422"/>
      <c r="P65" s="518"/>
      <c r="Q65" s="552">
        <v>46.986000000000004</v>
      </c>
      <c r="R65" s="518"/>
      <c r="S65" s="552">
        <v>0.64284746861564912</v>
      </c>
      <c r="T65" s="552">
        <v>29.45030008499424</v>
      </c>
      <c r="U65" s="552">
        <v>54.625</v>
      </c>
      <c r="V65" s="552">
        <f>SUM(V66:V69)</f>
        <v>0</v>
      </c>
      <c r="W65" s="518"/>
      <c r="X65" s="518"/>
      <c r="Y65" s="422"/>
      <c r="Z65" s="421"/>
      <c r="AA65" s="550">
        <v>122.10424162825494</v>
      </c>
      <c r="AB65" s="425">
        <f>SUM(AC65:AM65)</f>
        <v>18.910018360553575</v>
      </c>
      <c r="AC65" s="426"/>
      <c r="AD65" s="421"/>
      <c r="AE65" s="421">
        <f>SUM(AE66:AE69)</f>
        <v>14.092704380157992</v>
      </c>
      <c r="AF65" s="421"/>
      <c r="AG65" s="421"/>
      <c r="AH65" s="421">
        <v>4.8173139803955838</v>
      </c>
      <c r="AI65" s="421"/>
      <c r="AJ65" s="421"/>
      <c r="AK65" s="421"/>
      <c r="AL65" s="421"/>
      <c r="AM65" s="422"/>
      <c r="AN65" s="423"/>
      <c r="AO65" s="550">
        <v>249.83924335957121</v>
      </c>
      <c r="AP65" s="425"/>
      <c r="AQ65" s="571">
        <f t="shared" si="13"/>
        <v>522.5626501501099</v>
      </c>
    </row>
    <row r="66" spans="1:45" ht="12.75" customHeight="1">
      <c r="A66" s="404" t="s">
        <v>299</v>
      </c>
      <c r="B66" s="572" t="s">
        <v>300</v>
      </c>
      <c r="C66" s="406">
        <f t="shared" ref="C66:C69" si="34">SUM(D66:G66)</f>
        <v>2.9995488721804514E-3</v>
      </c>
      <c r="D66" s="413">
        <v>2.9995488721804514E-3</v>
      </c>
      <c r="E66" s="458"/>
      <c r="F66" s="458"/>
      <c r="G66" s="573"/>
      <c r="H66" s="410">
        <f t="shared" ref="H66:H69" si="35">SUM(I66:K66)</f>
        <v>0</v>
      </c>
      <c r="I66" s="456"/>
      <c r="J66" s="411"/>
      <c r="K66" s="574"/>
      <c r="L66" s="410">
        <f t="shared" ref="L66:L69" si="36">SUM(M66:Z66)</f>
        <v>4.8361472478110468</v>
      </c>
      <c r="M66" s="456"/>
      <c r="N66" s="458"/>
      <c r="O66" s="409"/>
      <c r="P66" s="458"/>
      <c r="Q66" s="458">
        <v>0.13</v>
      </c>
      <c r="R66" s="458"/>
      <c r="S66" s="458">
        <v>3.1863567217628209E-3</v>
      </c>
      <c r="T66" s="458">
        <v>1.1339608910892836</v>
      </c>
      <c r="U66" s="458">
        <v>3.569</v>
      </c>
      <c r="V66" s="458">
        <v>0</v>
      </c>
      <c r="W66" s="458"/>
      <c r="X66" s="458"/>
      <c r="Y66" s="409"/>
      <c r="Z66" s="408"/>
      <c r="AA66" s="414">
        <v>6.2855711462293291</v>
      </c>
      <c r="AB66" s="412">
        <f t="shared" ref="AB66:AB69" si="37">SUM(AC66:AM66)</f>
        <v>4.8181897932338265</v>
      </c>
      <c r="AC66" s="413"/>
      <c r="AD66" s="408"/>
      <c r="AE66" s="408">
        <v>8.7581283824237082E-4</v>
      </c>
      <c r="AF66" s="408"/>
      <c r="AG66" s="408"/>
      <c r="AH66" s="408">
        <v>4.8173139803955838</v>
      </c>
      <c r="AI66" s="408"/>
      <c r="AJ66" s="408"/>
      <c r="AK66" s="408"/>
      <c r="AL66" s="408"/>
      <c r="AM66" s="409"/>
      <c r="AN66" s="410"/>
      <c r="AO66" s="414">
        <v>62.066112125563578</v>
      </c>
      <c r="AP66" s="412"/>
      <c r="AQ66" s="441">
        <f t="shared" si="13"/>
        <v>78.009019861709959</v>
      </c>
    </row>
    <row r="67" spans="1:45" ht="12.75" customHeight="1">
      <c r="A67" s="575" t="s">
        <v>301</v>
      </c>
      <c r="B67" s="576">
        <v>84</v>
      </c>
      <c r="C67" s="355">
        <f t="shared" si="34"/>
        <v>1.9996992481203005E-3</v>
      </c>
      <c r="D67" s="509">
        <v>1.9996992481203005E-3</v>
      </c>
      <c r="E67" s="512"/>
      <c r="F67" s="512"/>
      <c r="G67" s="513"/>
      <c r="H67" s="359">
        <f t="shared" si="35"/>
        <v>0</v>
      </c>
      <c r="I67" s="577"/>
      <c r="J67" s="361"/>
      <c r="K67" s="578"/>
      <c r="L67" s="359">
        <f t="shared" si="36"/>
        <v>37.49597693290648</v>
      </c>
      <c r="M67" s="577"/>
      <c r="N67" s="512"/>
      <c r="O67" s="358"/>
      <c r="P67" s="512"/>
      <c r="Q67" s="502">
        <v>6.9249999999999998</v>
      </c>
      <c r="R67" s="512"/>
      <c r="S67" s="502">
        <v>0.36191701764689377</v>
      </c>
      <c r="T67" s="502">
        <v>7.4190599152595853</v>
      </c>
      <c r="U67" s="502">
        <v>22.79</v>
      </c>
      <c r="V67" s="502">
        <v>0</v>
      </c>
      <c r="W67" s="512"/>
      <c r="X67" s="512"/>
      <c r="Y67" s="358"/>
      <c r="Z67" s="362"/>
      <c r="AA67" s="515">
        <v>43.318633321580478</v>
      </c>
      <c r="AB67" s="363">
        <f t="shared" si="37"/>
        <v>3.0136719763919984</v>
      </c>
      <c r="AC67" s="364"/>
      <c r="AD67" s="362"/>
      <c r="AE67" s="362">
        <v>3.0136719763919984</v>
      </c>
      <c r="AF67" s="362"/>
      <c r="AG67" s="362"/>
      <c r="AH67" s="362">
        <v>0</v>
      </c>
      <c r="AI67" s="362"/>
      <c r="AJ67" s="362"/>
      <c r="AK67" s="362"/>
      <c r="AL67" s="362"/>
      <c r="AM67" s="358"/>
      <c r="AN67" s="359"/>
      <c r="AO67" s="515">
        <v>90.275166794474018</v>
      </c>
      <c r="AP67" s="363"/>
      <c r="AQ67" s="366">
        <f t="shared" si="13"/>
        <v>174.1054487246011</v>
      </c>
    </row>
    <row r="68" spans="1:45" ht="12.75" customHeight="1">
      <c r="A68" s="353" t="s">
        <v>64</v>
      </c>
      <c r="B68" s="557">
        <v>85</v>
      </c>
      <c r="C68" s="355">
        <f t="shared" si="34"/>
        <v>0</v>
      </c>
      <c r="D68" s="509">
        <v>0</v>
      </c>
      <c r="E68" s="512"/>
      <c r="F68" s="512"/>
      <c r="G68" s="513"/>
      <c r="H68" s="359">
        <f t="shared" si="35"/>
        <v>0</v>
      </c>
      <c r="I68" s="577"/>
      <c r="J68" s="361"/>
      <c r="K68" s="578"/>
      <c r="L68" s="359">
        <f t="shared" si="36"/>
        <v>63.764873205839493</v>
      </c>
      <c r="M68" s="577"/>
      <c r="N68" s="512"/>
      <c r="O68" s="358"/>
      <c r="P68" s="512"/>
      <c r="Q68" s="502">
        <v>27.067</v>
      </c>
      <c r="R68" s="512"/>
      <c r="S68" s="502">
        <v>5.416806426996796E-2</v>
      </c>
      <c r="T68" s="502">
        <v>17.705705141569517</v>
      </c>
      <c r="U68" s="502">
        <v>18.937999999999999</v>
      </c>
      <c r="V68" s="502">
        <v>0</v>
      </c>
      <c r="W68" s="512"/>
      <c r="X68" s="512"/>
      <c r="Y68" s="358"/>
      <c r="Z68" s="362"/>
      <c r="AA68" s="515">
        <v>27.252039348994288</v>
      </c>
      <c r="AB68" s="363">
        <f t="shared" si="37"/>
        <v>9.8108554139910407</v>
      </c>
      <c r="AC68" s="364"/>
      <c r="AD68" s="362"/>
      <c r="AE68" s="362">
        <v>9.8108554139910407</v>
      </c>
      <c r="AF68" s="362"/>
      <c r="AG68" s="362"/>
      <c r="AH68" s="362">
        <v>0</v>
      </c>
      <c r="AI68" s="362"/>
      <c r="AJ68" s="362"/>
      <c r="AK68" s="362"/>
      <c r="AL68" s="362"/>
      <c r="AM68" s="358"/>
      <c r="AN68" s="359"/>
      <c r="AO68" s="515">
        <v>58.093005834167748</v>
      </c>
      <c r="AP68" s="363"/>
      <c r="AQ68" s="366">
        <f t="shared" si="13"/>
        <v>158.92077380299256</v>
      </c>
    </row>
    <row r="69" spans="1:45" ht="12.75" customHeight="1">
      <c r="A69" s="417" t="s">
        <v>302</v>
      </c>
      <c r="B69" s="566" t="s">
        <v>303</v>
      </c>
      <c r="C69" s="535">
        <f t="shared" si="34"/>
        <v>0</v>
      </c>
      <c r="D69" s="426">
        <v>0</v>
      </c>
      <c r="E69" s="518"/>
      <c r="F69" s="518"/>
      <c r="G69" s="519"/>
      <c r="H69" s="537">
        <f t="shared" si="35"/>
        <v>0</v>
      </c>
      <c r="I69" s="579"/>
      <c r="J69" s="424"/>
      <c r="K69" s="580"/>
      <c r="L69" s="537">
        <f t="shared" si="36"/>
        <v>25.607150167052879</v>
      </c>
      <c r="M69" s="579"/>
      <c r="N69" s="518"/>
      <c r="O69" s="422"/>
      <c r="P69" s="518"/>
      <c r="Q69" s="518">
        <v>12.864000000000001</v>
      </c>
      <c r="R69" s="518"/>
      <c r="S69" s="518">
        <v>0.22357602997702461</v>
      </c>
      <c r="T69" s="518">
        <v>3.191574137075853</v>
      </c>
      <c r="U69" s="518">
        <v>9.3279999999999994</v>
      </c>
      <c r="V69" s="518">
        <v>0</v>
      </c>
      <c r="W69" s="518"/>
      <c r="X69" s="518"/>
      <c r="Y69" s="422"/>
      <c r="Z69" s="421"/>
      <c r="AA69" s="427">
        <v>45.247997811450865</v>
      </c>
      <c r="AB69" s="540">
        <f t="shared" si="37"/>
        <v>1.2673011769367108</v>
      </c>
      <c r="AC69" s="541"/>
      <c r="AD69" s="534"/>
      <c r="AE69" s="534">
        <v>1.2673011769367108</v>
      </c>
      <c r="AF69" s="534"/>
      <c r="AG69" s="534"/>
      <c r="AH69" s="534">
        <v>0</v>
      </c>
      <c r="AI69" s="534"/>
      <c r="AJ69" s="534"/>
      <c r="AK69" s="534"/>
      <c r="AL69" s="534"/>
      <c r="AM69" s="536"/>
      <c r="AN69" s="537"/>
      <c r="AO69" s="427">
        <v>39.40495860536587</v>
      </c>
      <c r="AP69" s="540"/>
      <c r="AQ69" s="542">
        <f t="shared" si="13"/>
        <v>111.52740776080631</v>
      </c>
    </row>
    <row r="70" spans="1:45" s="84" customFormat="1" ht="12.75" customHeight="1">
      <c r="A70" s="443" t="s">
        <v>304</v>
      </c>
      <c r="B70" s="444"/>
      <c r="C70" s="445">
        <f>SUM(D70:G70)</f>
        <v>0</v>
      </c>
      <c r="D70" s="581">
        <v>0</v>
      </c>
      <c r="E70" s="582"/>
      <c r="F70" s="583"/>
      <c r="G70" s="583"/>
      <c r="H70" s="449">
        <f>SUM(I70:K70)</f>
        <v>0</v>
      </c>
      <c r="I70" s="581"/>
      <c r="J70" s="584"/>
      <c r="K70" s="582"/>
      <c r="L70" s="449">
        <f>SUM(M70:Z70)</f>
        <v>175.46549158593075</v>
      </c>
      <c r="M70" s="582"/>
      <c r="N70" s="582"/>
      <c r="O70" s="582"/>
      <c r="P70" s="582">
        <v>0</v>
      </c>
      <c r="Q70" s="582">
        <v>0</v>
      </c>
      <c r="R70" s="582"/>
      <c r="S70" s="582"/>
      <c r="T70" s="585">
        <v>0</v>
      </c>
      <c r="U70" s="582">
        <v>175.46549158593075</v>
      </c>
      <c r="V70" s="408"/>
      <c r="W70" s="583"/>
      <c r="X70" s="583"/>
      <c r="Y70" s="583"/>
      <c r="Z70" s="582"/>
      <c r="AA70" s="449">
        <v>0</v>
      </c>
      <c r="AB70" s="450">
        <f>SUM(AC70:AM70)</f>
        <v>0</v>
      </c>
      <c r="AC70" s="586"/>
      <c r="AD70" s="582"/>
      <c r="AE70" s="582"/>
      <c r="AF70" s="582"/>
      <c r="AG70" s="582"/>
      <c r="AH70" s="582"/>
      <c r="AI70" s="582"/>
      <c r="AJ70" s="582"/>
      <c r="AK70" s="581"/>
      <c r="AL70" s="583"/>
      <c r="AM70" s="582"/>
      <c r="AN70" s="449"/>
      <c r="AO70" s="449">
        <v>47.988</v>
      </c>
      <c r="AP70" s="450"/>
      <c r="AQ70" s="440">
        <f t="shared" si="13"/>
        <v>223.45349158593075</v>
      </c>
      <c r="AR70" s="80"/>
      <c r="AS70" s="83"/>
    </row>
    <row r="71" spans="1:45" s="84" customFormat="1" ht="12.75" customHeight="1" thickBot="1">
      <c r="A71" s="587" t="s">
        <v>305</v>
      </c>
      <c r="B71" s="418"/>
      <c r="C71" s="419">
        <f>SUM(D71:G71)</f>
        <v>0</v>
      </c>
      <c r="D71" s="420"/>
      <c r="E71" s="421"/>
      <c r="F71" s="422"/>
      <c r="G71" s="422"/>
      <c r="H71" s="423">
        <f>SUM(I71:K71)</f>
        <v>0</v>
      </c>
      <c r="I71" s="420"/>
      <c r="J71" s="424"/>
      <c r="K71" s="421"/>
      <c r="L71" s="423">
        <f>SUM(M71:Z71)</f>
        <v>27.249865733664667</v>
      </c>
      <c r="M71" s="421"/>
      <c r="N71" s="421"/>
      <c r="O71" s="421"/>
      <c r="P71" s="421"/>
      <c r="Q71" s="421"/>
      <c r="R71" s="421"/>
      <c r="S71" s="421"/>
      <c r="T71" s="421"/>
      <c r="U71" s="544">
        <v>27.249865733664667</v>
      </c>
      <c r="V71" s="421"/>
      <c r="W71" s="422"/>
      <c r="X71" s="422"/>
      <c r="Y71" s="422"/>
      <c r="Z71" s="421"/>
      <c r="AA71" s="423"/>
      <c r="AB71" s="425">
        <f>SUM(AC71:AM71)</f>
        <v>0</v>
      </c>
      <c r="AC71" s="426"/>
      <c r="AD71" s="421"/>
      <c r="AE71" s="421"/>
      <c r="AF71" s="421"/>
      <c r="AG71" s="421"/>
      <c r="AH71" s="421"/>
      <c r="AI71" s="421"/>
      <c r="AJ71" s="421"/>
      <c r="AK71" s="420"/>
      <c r="AL71" s="422"/>
      <c r="AM71" s="421"/>
      <c r="AN71" s="423"/>
      <c r="AO71" s="427"/>
      <c r="AP71" s="425"/>
      <c r="AQ71" s="571">
        <f t="shared" si="13"/>
        <v>27.249865733664667</v>
      </c>
      <c r="AR71" s="80"/>
      <c r="AS71" s="83"/>
    </row>
    <row r="72" spans="1:45" s="84" customFormat="1" ht="12.75" customHeight="1" thickBot="1">
      <c r="A72" s="473" t="s">
        <v>306</v>
      </c>
      <c r="B72" s="474"/>
      <c r="C72" s="475">
        <f t="shared" ref="C72:AP72" si="38">C26-C27-C29</f>
        <v>-2.5795347028326319</v>
      </c>
      <c r="D72" s="476">
        <f t="shared" si="38"/>
        <v>0.17716668219679832</v>
      </c>
      <c r="E72" s="477">
        <f t="shared" si="38"/>
        <v>-3.4486883993195221</v>
      </c>
      <c r="F72" s="481">
        <f t="shared" si="38"/>
        <v>0</v>
      </c>
      <c r="G72" s="481">
        <f t="shared" si="38"/>
        <v>0.69246574229020652</v>
      </c>
      <c r="H72" s="478">
        <f t="shared" si="38"/>
        <v>1.9457250152908045</v>
      </c>
      <c r="I72" s="476">
        <f t="shared" si="38"/>
        <v>-0.45741265470912973</v>
      </c>
      <c r="J72" s="479">
        <f t="shared" si="38"/>
        <v>0</v>
      </c>
      <c r="K72" s="477">
        <f t="shared" si="38"/>
        <v>2.4031376700000067</v>
      </c>
      <c r="L72" s="478">
        <f t="shared" si="38"/>
        <v>2.3431242304332045</v>
      </c>
      <c r="M72" s="477">
        <f t="shared" si="38"/>
        <v>0</v>
      </c>
      <c r="N72" s="477">
        <f t="shared" si="38"/>
        <v>-0.14794174855289199</v>
      </c>
      <c r="O72" s="477">
        <f t="shared" si="38"/>
        <v>-5.2567080980734033</v>
      </c>
      <c r="P72" s="477">
        <f t="shared" si="38"/>
        <v>-25.023756688637718</v>
      </c>
      <c r="Q72" s="477">
        <f t="shared" si="38"/>
        <v>14.717063728640028</v>
      </c>
      <c r="R72" s="477">
        <f t="shared" si="38"/>
        <v>4.1043924247198902</v>
      </c>
      <c r="S72" s="477">
        <f t="shared" si="38"/>
        <v>8.0001198650984477</v>
      </c>
      <c r="T72" s="477">
        <f t="shared" si="38"/>
        <v>6.5570336698137908</v>
      </c>
      <c r="U72" s="477">
        <f t="shared" si="38"/>
        <v>-8.9389207362023626</v>
      </c>
      <c r="V72" s="477">
        <f t="shared" si="38"/>
        <v>0.82532907951215861</v>
      </c>
      <c r="W72" s="481">
        <f t="shared" si="38"/>
        <v>7.506512734116022</v>
      </c>
      <c r="X72" s="481">
        <f t="shared" si="38"/>
        <v>0</v>
      </c>
      <c r="Y72" s="481">
        <f t="shared" si="38"/>
        <v>0</v>
      </c>
      <c r="Z72" s="477">
        <f t="shared" si="38"/>
        <v>0</v>
      </c>
      <c r="AA72" s="478">
        <f t="shared" si="38"/>
        <v>-40.274710307198575</v>
      </c>
      <c r="AB72" s="480">
        <f t="shared" si="38"/>
        <v>-2.4161461805547901</v>
      </c>
      <c r="AC72" s="588">
        <f t="shared" si="38"/>
        <v>0</v>
      </c>
      <c r="AD72" s="477">
        <f t="shared" si="38"/>
        <v>0</v>
      </c>
      <c r="AE72" s="477">
        <f t="shared" si="38"/>
        <v>-4.7196692573067764</v>
      </c>
      <c r="AF72" s="477">
        <f t="shared" si="38"/>
        <v>0</v>
      </c>
      <c r="AG72" s="477">
        <f t="shared" si="38"/>
        <v>0</v>
      </c>
      <c r="AH72" s="477">
        <f t="shared" si="38"/>
        <v>0</v>
      </c>
      <c r="AI72" s="477">
        <f t="shared" si="38"/>
        <v>1.6583711868479725</v>
      </c>
      <c r="AJ72" s="477">
        <f t="shared" si="38"/>
        <v>0.64515188990400674</v>
      </c>
      <c r="AK72" s="476">
        <f t="shared" si="38"/>
        <v>0</v>
      </c>
      <c r="AL72" s="481">
        <f t="shared" si="38"/>
        <v>0</v>
      </c>
      <c r="AM72" s="477">
        <f t="shared" si="38"/>
        <v>0</v>
      </c>
      <c r="AN72" s="478">
        <f t="shared" si="38"/>
        <v>0</v>
      </c>
      <c r="AO72" s="478">
        <f t="shared" si="38"/>
        <v>-35.693844343489218</v>
      </c>
      <c r="AP72" s="480">
        <f t="shared" si="38"/>
        <v>0</v>
      </c>
      <c r="AQ72" s="482">
        <f t="shared" si="13"/>
        <v>-76.675386288351206</v>
      </c>
      <c r="AR72" s="80"/>
      <c r="AS72" s="83"/>
    </row>
    <row r="73" spans="1:45" ht="12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5" s="84" customFormat="1" ht="15" customHeight="1">
      <c r="A74" s="459" t="s">
        <v>622</v>
      </c>
      <c r="B74" s="437"/>
      <c r="C74" s="437"/>
      <c r="D74" s="437"/>
      <c r="E74" s="437"/>
      <c r="F74" s="437"/>
      <c r="G74" s="437"/>
      <c r="H74" s="437"/>
      <c r="I74" s="437"/>
      <c r="J74" s="437"/>
      <c r="K74" s="437"/>
      <c r="L74" s="589"/>
      <c r="M74" s="437"/>
      <c r="N74" s="437"/>
      <c r="Q74" s="437"/>
      <c r="R74" s="437"/>
      <c r="S74" s="437"/>
      <c r="T74" s="437"/>
      <c r="U74" s="437"/>
      <c r="V74" s="437"/>
      <c r="W74" s="429"/>
      <c r="Y74" s="437"/>
      <c r="Z74" s="437"/>
      <c r="AA74" s="437"/>
      <c r="AB74" s="437"/>
      <c r="AC74" s="437"/>
      <c r="AD74" s="437"/>
      <c r="AE74" s="437"/>
      <c r="AF74" s="437"/>
      <c r="AG74" s="437"/>
      <c r="AH74" s="437"/>
      <c r="AI74" s="437"/>
      <c r="AJ74" s="437"/>
      <c r="AK74" s="437"/>
      <c r="AL74" s="437"/>
      <c r="AM74" s="437"/>
      <c r="AN74" s="437"/>
      <c r="AO74" s="437"/>
      <c r="AP74" s="437"/>
      <c r="AQ74" s="437"/>
      <c r="AS74" s="83"/>
    </row>
    <row r="75" spans="1:45" ht="12.75" customHeight="1">
      <c r="A75" s="590" t="s">
        <v>623</v>
      </c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5" ht="12.75" customHeight="1">
      <c r="A76" s="591" t="s">
        <v>307</v>
      </c>
      <c r="B76" s="592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5" ht="12.75" customHeight="1">
      <c r="A77" s="593" t="s">
        <v>308</v>
      </c>
      <c r="B77" s="59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5" ht="12.75" customHeight="1">
      <c r="A78" s="89" t="s">
        <v>309</v>
      </c>
      <c r="B78" s="59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5" ht="12.75" customHeight="1">
      <c r="A79" s="594" t="s">
        <v>310</v>
      </c>
      <c r="B79" s="90"/>
      <c r="C79" s="90"/>
      <c r="D79" s="90"/>
      <c r="E79" s="595"/>
      <c r="F79" s="596"/>
      <c r="G79" s="596"/>
      <c r="H79" s="597"/>
      <c r="I79" s="596"/>
      <c r="J79" s="596"/>
      <c r="K79" s="596"/>
      <c r="L79" s="597"/>
      <c r="M79" s="596"/>
      <c r="N79" s="596"/>
      <c r="O79" s="596"/>
      <c r="P79" s="596"/>
      <c r="Q79" s="596"/>
      <c r="R79" s="596"/>
      <c r="S79" s="598"/>
      <c r="T79"/>
      <c r="U79" s="598"/>
      <c r="V79" s="598"/>
      <c r="W79" s="596"/>
      <c r="X79" s="596"/>
      <c r="Y79" s="596"/>
      <c r="Z79" s="596"/>
      <c r="AA79" s="597"/>
      <c r="AB79" s="599"/>
      <c r="AC79" s="596"/>
      <c r="AD79" s="596"/>
      <c r="AE79" s="596"/>
      <c r="AF79" s="596"/>
      <c r="AG79" s="596"/>
      <c r="AH79" s="596"/>
      <c r="AI79" s="596"/>
      <c r="AJ79" s="596"/>
      <c r="AK79" s="596"/>
      <c r="AL79" s="596"/>
      <c r="AM79" s="596"/>
      <c r="AN79" s="596"/>
      <c r="AO79" s="597"/>
      <c r="AP79" s="599"/>
      <c r="AQ79" s="596"/>
    </row>
    <row r="80" spans="1:45" ht="12.75" customHeight="1">
      <c r="A80" s="594" t="s">
        <v>311</v>
      </c>
      <c r="B80" s="90"/>
      <c r="C80" s="90"/>
      <c r="D80" s="90"/>
      <c r="E80" s="595"/>
      <c r="F80" s="596"/>
      <c r="G80" s="596"/>
      <c r="H80" s="597"/>
      <c r="I80" s="596"/>
      <c r="J80" s="596"/>
      <c r="K80" s="596"/>
      <c r="L80" s="597"/>
      <c r="M80" s="596"/>
      <c r="N80" s="596"/>
      <c r="O80" s="596"/>
      <c r="P80" s="596"/>
      <c r="Q80" s="596"/>
      <c r="R80" s="596"/>
      <c r="S80" s="598"/>
      <c r="T80"/>
      <c r="U80" s="598"/>
      <c r="V80" s="598"/>
      <c r="W80" s="596"/>
      <c r="X80" s="596"/>
      <c r="Y80" s="596"/>
      <c r="Z80" s="596"/>
      <c r="AA80" s="597"/>
      <c r="AB80" s="599"/>
      <c r="AC80" s="596"/>
      <c r="AD80" s="596"/>
      <c r="AE80" s="596"/>
      <c r="AF80" s="596"/>
      <c r="AG80" s="596"/>
      <c r="AH80" s="596"/>
      <c r="AI80" s="596"/>
      <c r="AJ80" s="596"/>
      <c r="AK80" s="596"/>
      <c r="AL80" s="596"/>
      <c r="AM80" s="596"/>
      <c r="AN80" s="596"/>
      <c r="AO80" s="597"/>
      <c r="AP80" s="599"/>
      <c r="AQ80" s="59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204" customWidth="1"/>
    <col min="2" max="15" width="13.7109375" style="190" customWidth="1"/>
    <col min="16" max="241" width="9.140625" style="190"/>
    <col min="242" max="242" width="18" style="190" customWidth="1"/>
    <col min="243" max="256" width="13.7109375" style="190" customWidth="1"/>
    <col min="257" max="497" width="9.140625" style="190"/>
    <col min="498" max="498" width="18" style="190" customWidth="1"/>
    <col min="499" max="512" width="13.7109375" style="190" customWidth="1"/>
    <col min="513" max="753" width="9.140625" style="190"/>
    <col min="754" max="754" width="18" style="190" customWidth="1"/>
    <col min="755" max="768" width="13.7109375" style="190" customWidth="1"/>
    <col min="769" max="1009" width="9.140625" style="190"/>
    <col min="1010" max="1010" width="18" style="190" customWidth="1"/>
    <col min="1011" max="1024" width="13.7109375" style="190" customWidth="1"/>
    <col min="1025" max="1265" width="9.140625" style="190"/>
    <col min="1266" max="1266" width="18" style="190" customWidth="1"/>
    <col min="1267" max="1280" width="13.7109375" style="190" customWidth="1"/>
    <col min="1281" max="1521" width="9.140625" style="190"/>
    <col min="1522" max="1522" width="18" style="190" customWidth="1"/>
    <col min="1523" max="1536" width="13.7109375" style="190" customWidth="1"/>
    <col min="1537" max="1777" width="9.140625" style="190"/>
    <col min="1778" max="1778" width="18" style="190" customWidth="1"/>
    <col min="1779" max="1792" width="13.7109375" style="190" customWidth="1"/>
    <col min="1793" max="2033" width="9.140625" style="190"/>
    <col min="2034" max="2034" width="18" style="190" customWidth="1"/>
    <col min="2035" max="2048" width="13.7109375" style="190" customWidth="1"/>
    <col min="2049" max="2289" width="9.140625" style="190"/>
    <col min="2290" max="2290" width="18" style="190" customWidth="1"/>
    <col min="2291" max="2304" width="13.7109375" style="190" customWidth="1"/>
    <col min="2305" max="2545" width="9.140625" style="190"/>
    <col min="2546" max="2546" width="18" style="190" customWidth="1"/>
    <col min="2547" max="2560" width="13.7109375" style="190" customWidth="1"/>
    <col min="2561" max="2801" width="9.140625" style="190"/>
    <col min="2802" max="2802" width="18" style="190" customWidth="1"/>
    <col min="2803" max="2816" width="13.7109375" style="190" customWidth="1"/>
    <col min="2817" max="3057" width="9.140625" style="190"/>
    <col min="3058" max="3058" width="18" style="190" customWidth="1"/>
    <col min="3059" max="3072" width="13.7109375" style="190" customWidth="1"/>
    <col min="3073" max="3313" width="9.140625" style="190"/>
    <col min="3314" max="3314" width="18" style="190" customWidth="1"/>
    <col min="3315" max="3328" width="13.7109375" style="190" customWidth="1"/>
    <col min="3329" max="3569" width="9.140625" style="190"/>
    <col min="3570" max="3570" width="18" style="190" customWidth="1"/>
    <col min="3571" max="3584" width="13.7109375" style="190" customWidth="1"/>
    <col min="3585" max="3825" width="9.140625" style="190"/>
    <col min="3826" max="3826" width="18" style="190" customWidth="1"/>
    <col min="3827" max="3840" width="13.7109375" style="190" customWidth="1"/>
    <col min="3841" max="4081" width="9.140625" style="190"/>
    <col min="4082" max="4082" width="18" style="190" customWidth="1"/>
    <col min="4083" max="4096" width="13.7109375" style="190" customWidth="1"/>
    <col min="4097" max="4337" width="9.140625" style="190"/>
    <col min="4338" max="4338" width="18" style="190" customWidth="1"/>
    <col min="4339" max="4352" width="13.7109375" style="190" customWidth="1"/>
    <col min="4353" max="4593" width="9.140625" style="190"/>
    <col min="4594" max="4594" width="18" style="190" customWidth="1"/>
    <col min="4595" max="4608" width="13.7109375" style="190" customWidth="1"/>
    <col min="4609" max="4849" width="9.140625" style="190"/>
    <col min="4850" max="4850" width="18" style="190" customWidth="1"/>
    <col min="4851" max="4864" width="13.7109375" style="190" customWidth="1"/>
    <col min="4865" max="5105" width="9.140625" style="190"/>
    <col min="5106" max="5106" width="18" style="190" customWidth="1"/>
    <col min="5107" max="5120" width="13.7109375" style="190" customWidth="1"/>
    <col min="5121" max="5361" width="9.140625" style="190"/>
    <col min="5362" max="5362" width="18" style="190" customWidth="1"/>
    <col min="5363" max="5376" width="13.7109375" style="190" customWidth="1"/>
    <col min="5377" max="5617" width="9.140625" style="190"/>
    <col min="5618" max="5618" width="18" style="190" customWidth="1"/>
    <col min="5619" max="5632" width="13.7109375" style="190" customWidth="1"/>
    <col min="5633" max="5873" width="9.140625" style="190"/>
    <col min="5874" max="5874" width="18" style="190" customWidth="1"/>
    <col min="5875" max="5888" width="13.7109375" style="190" customWidth="1"/>
    <col min="5889" max="6129" width="9.140625" style="190"/>
    <col min="6130" max="6130" width="18" style="190" customWidth="1"/>
    <col min="6131" max="6144" width="13.7109375" style="190" customWidth="1"/>
    <col min="6145" max="6385" width="9.140625" style="190"/>
    <col min="6386" max="6386" width="18" style="190" customWidth="1"/>
    <col min="6387" max="6400" width="13.7109375" style="190" customWidth="1"/>
    <col min="6401" max="6641" width="9.140625" style="190"/>
    <col min="6642" max="6642" width="18" style="190" customWidth="1"/>
    <col min="6643" max="6656" width="13.7109375" style="190" customWidth="1"/>
    <col min="6657" max="6897" width="9.140625" style="190"/>
    <col min="6898" max="6898" width="18" style="190" customWidth="1"/>
    <col min="6899" max="6912" width="13.7109375" style="190" customWidth="1"/>
    <col min="6913" max="7153" width="9.140625" style="190"/>
    <col min="7154" max="7154" width="18" style="190" customWidth="1"/>
    <col min="7155" max="7168" width="13.7109375" style="190" customWidth="1"/>
    <col min="7169" max="7409" width="9.140625" style="190"/>
    <col min="7410" max="7410" width="18" style="190" customWidth="1"/>
    <col min="7411" max="7424" width="13.7109375" style="190" customWidth="1"/>
    <col min="7425" max="7665" width="9.140625" style="190"/>
    <col min="7666" max="7666" width="18" style="190" customWidth="1"/>
    <col min="7667" max="7680" width="13.7109375" style="190" customWidth="1"/>
    <col min="7681" max="7921" width="9.140625" style="190"/>
    <col min="7922" max="7922" width="18" style="190" customWidth="1"/>
    <col min="7923" max="7936" width="13.7109375" style="190" customWidth="1"/>
    <col min="7937" max="8177" width="9.140625" style="190"/>
    <col min="8178" max="8178" width="18" style="190" customWidth="1"/>
    <col min="8179" max="8192" width="13.7109375" style="190" customWidth="1"/>
    <col min="8193" max="8433" width="9.140625" style="190"/>
    <col min="8434" max="8434" width="18" style="190" customWidth="1"/>
    <col min="8435" max="8448" width="13.7109375" style="190" customWidth="1"/>
    <col min="8449" max="8689" width="9.140625" style="190"/>
    <col min="8690" max="8690" width="18" style="190" customWidth="1"/>
    <col min="8691" max="8704" width="13.7109375" style="190" customWidth="1"/>
    <col min="8705" max="8945" width="9.140625" style="190"/>
    <col min="8946" max="8946" width="18" style="190" customWidth="1"/>
    <col min="8947" max="8960" width="13.7109375" style="190" customWidth="1"/>
    <col min="8961" max="9201" width="9.140625" style="190"/>
    <col min="9202" max="9202" width="18" style="190" customWidth="1"/>
    <col min="9203" max="9216" width="13.7109375" style="190" customWidth="1"/>
    <col min="9217" max="9457" width="9.140625" style="190"/>
    <col min="9458" max="9458" width="18" style="190" customWidth="1"/>
    <col min="9459" max="9472" width="13.7109375" style="190" customWidth="1"/>
    <col min="9473" max="9713" width="9.140625" style="190"/>
    <col min="9714" max="9714" width="18" style="190" customWidth="1"/>
    <col min="9715" max="9728" width="13.7109375" style="190" customWidth="1"/>
    <col min="9729" max="9969" width="9.140625" style="190"/>
    <col min="9970" max="9970" width="18" style="190" customWidth="1"/>
    <col min="9971" max="9984" width="13.7109375" style="190" customWidth="1"/>
    <col min="9985" max="10225" width="9.140625" style="190"/>
    <col min="10226" max="10226" width="18" style="190" customWidth="1"/>
    <col min="10227" max="10240" width="13.7109375" style="190" customWidth="1"/>
    <col min="10241" max="10481" width="9.140625" style="190"/>
    <col min="10482" max="10482" width="18" style="190" customWidth="1"/>
    <col min="10483" max="10496" width="13.7109375" style="190" customWidth="1"/>
    <col min="10497" max="10737" width="9.140625" style="190"/>
    <col min="10738" max="10738" width="18" style="190" customWidth="1"/>
    <col min="10739" max="10752" width="13.7109375" style="190" customWidth="1"/>
    <col min="10753" max="10993" width="9.140625" style="190"/>
    <col min="10994" max="10994" width="18" style="190" customWidth="1"/>
    <col min="10995" max="11008" width="13.7109375" style="190" customWidth="1"/>
    <col min="11009" max="11249" width="9.140625" style="190"/>
    <col min="11250" max="11250" width="18" style="190" customWidth="1"/>
    <col min="11251" max="11264" width="13.7109375" style="190" customWidth="1"/>
    <col min="11265" max="11505" width="9.140625" style="190"/>
    <col min="11506" max="11506" width="18" style="190" customWidth="1"/>
    <col min="11507" max="11520" width="13.7109375" style="190" customWidth="1"/>
    <col min="11521" max="11761" width="9.140625" style="190"/>
    <col min="11762" max="11762" width="18" style="190" customWidth="1"/>
    <col min="11763" max="11776" width="13.7109375" style="190" customWidth="1"/>
    <col min="11777" max="12017" width="9.140625" style="190"/>
    <col min="12018" max="12018" width="18" style="190" customWidth="1"/>
    <col min="12019" max="12032" width="13.7109375" style="190" customWidth="1"/>
    <col min="12033" max="12273" width="9.140625" style="190"/>
    <col min="12274" max="12274" width="18" style="190" customWidth="1"/>
    <col min="12275" max="12288" width="13.7109375" style="190" customWidth="1"/>
    <col min="12289" max="12529" width="9.140625" style="190"/>
    <col min="12530" max="12530" width="18" style="190" customWidth="1"/>
    <col min="12531" max="12544" width="13.7109375" style="190" customWidth="1"/>
    <col min="12545" max="12785" width="9.140625" style="190"/>
    <col min="12786" max="12786" width="18" style="190" customWidth="1"/>
    <col min="12787" max="12800" width="13.7109375" style="190" customWidth="1"/>
    <col min="12801" max="13041" width="9.140625" style="190"/>
    <col min="13042" max="13042" width="18" style="190" customWidth="1"/>
    <col min="13043" max="13056" width="13.7109375" style="190" customWidth="1"/>
    <col min="13057" max="13297" width="9.140625" style="190"/>
    <col min="13298" max="13298" width="18" style="190" customWidth="1"/>
    <col min="13299" max="13312" width="13.7109375" style="190" customWidth="1"/>
    <col min="13313" max="13553" width="9.140625" style="190"/>
    <col min="13554" max="13554" width="18" style="190" customWidth="1"/>
    <col min="13555" max="13568" width="13.7109375" style="190" customWidth="1"/>
    <col min="13569" max="13809" width="9.140625" style="190"/>
    <col min="13810" max="13810" width="18" style="190" customWidth="1"/>
    <col min="13811" max="13824" width="13.7109375" style="190" customWidth="1"/>
    <col min="13825" max="14065" width="9.140625" style="190"/>
    <col min="14066" max="14066" width="18" style="190" customWidth="1"/>
    <col min="14067" max="14080" width="13.7109375" style="190" customWidth="1"/>
    <col min="14081" max="14321" width="9.140625" style="190"/>
    <col min="14322" max="14322" width="18" style="190" customWidth="1"/>
    <col min="14323" max="14336" width="13.7109375" style="190" customWidth="1"/>
    <col min="14337" max="14577" width="9.140625" style="190"/>
    <col min="14578" max="14578" width="18" style="190" customWidth="1"/>
    <col min="14579" max="14592" width="13.7109375" style="190" customWidth="1"/>
    <col min="14593" max="14833" width="9.140625" style="190"/>
    <col min="14834" max="14834" width="18" style="190" customWidth="1"/>
    <col min="14835" max="14848" width="13.7109375" style="190" customWidth="1"/>
    <col min="14849" max="15089" width="9.140625" style="190"/>
    <col min="15090" max="15090" width="18" style="190" customWidth="1"/>
    <col min="15091" max="15104" width="13.7109375" style="190" customWidth="1"/>
    <col min="15105" max="15345" width="9.140625" style="190"/>
    <col min="15346" max="15346" width="18" style="190" customWidth="1"/>
    <col min="15347" max="15360" width="13.7109375" style="190" customWidth="1"/>
    <col min="15361" max="15601" width="9.140625" style="190"/>
    <col min="15602" max="15602" width="18" style="190" customWidth="1"/>
    <col min="15603" max="15616" width="13.7109375" style="190" customWidth="1"/>
    <col min="15617" max="15857" width="9.140625" style="190"/>
    <col min="15858" max="15858" width="18" style="190" customWidth="1"/>
    <col min="15859" max="15872" width="13.7109375" style="190" customWidth="1"/>
    <col min="15873" max="16113" width="9.140625" style="190"/>
    <col min="16114" max="16114" width="18" style="190" customWidth="1"/>
    <col min="16115" max="16128" width="13.7109375" style="190" customWidth="1"/>
    <col min="16129" max="16369" width="9.140625" style="190"/>
    <col min="16370" max="16384" width="9.140625" style="190" customWidth="1"/>
  </cols>
  <sheetData>
    <row r="1" spans="1:15" ht="15" customHeight="1">
      <c r="A1" s="612" t="s">
        <v>443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3"/>
      <c r="M1" s="613"/>
      <c r="N1" s="613"/>
      <c r="O1" s="613"/>
    </row>
    <row r="2" spans="1:15" ht="15" customHeight="1">
      <c r="A2" s="191" t="s">
        <v>444</v>
      </c>
      <c r="B2" s="192" t="s">
        <v>445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3"/>
      <c r="O2" s="194" t="s">
        <v>446</v>
      </c>
    </row>
    <row r="3" spans="1:15" ht="33.75" customHeight="1">
      <c r="A3" s="195" t="s">
        <v>447</v>
      </c>
      <c r="B3" s="196" t="s">
        <v>441</v>
      </c>
      <c r="C3" s="196" t="s">
        <v>440</v>
      </c>
      <c r="D3" s="196" t="s">
        <v>448</v>
      </c>
      <c r="E3" s="196" t="s">
        <v>442</v>
      </c>
      <c r="F3" s="196" t="s">
        <v>449</v>
      </c>
      <c r="G3" s="196" t="s">
        <v>450</v>
      </c>
      <c r="H3" s="196" t="s">
        <v>451</v>
      </c>
      <c r="I3" s="196" t="s">
        <v>452</v>
      </c>
      <c r="J3" s="196" t="s">
        <v>453</v>
      </c>
      <c r="K3" s="196" t="s">
        <v>454</v>
      </c>
      <c r="L3" s="196" t="s">
        <v>455</v>
      </c>
      <c r="M3" s="196" t="s">
        <v>456</v>
      </c>
      <c r="N3" s="196" t="s">
        <v>65</v>
      </c>
      <c r="O3" s="196" t="s">
        <v>457</v>
      </c>
    </row>
    <row r="4" spans="1:15" ht="15" customHeight="1">
      <c r="A4" s="197" t="s">
        <v>319</v>
      </c>
      <c r="B4" s="198">
        <v>435</v>
      </c>
      <c r="C4" s="198">
        <v>327</v>
      </c>
      <c r="D4" s="198">
        <v>363</v>
      </c>
      <c r="E4" s="198">
        <v>2588</v>
      </c>
      <c r="F4" s="198">
        <v>870</v>
      </c>
      <c r="G4" s="198">
        <v>706</v>
      </c>
      <c r="H4" s="198">
        <v>3069</v>
      </c>
      <c r="I4" s="198">
        <v>239</v>
      </c>
      <c r="J4" s="198">
        <v>221</v>
      </c>
      <c r="K4" s="198">
        <v>1340</v>
      </c>
      <c r="L4" s="198">
        <v>962</v>
      </c>
      <c r="M4" s="198">
        <v>680</v>
      </c>
      <c r="N4" s="198">
        <v>853</v>
      </c>
      <c r="O4" s="199">
        <v>591</v>
      </c>
    </row>
    <row r="5" spans="1:15" ht="15" customHeight="1">
      <c r="A5" s="197" t="s">
        <v>458</v>
      </c>
      <c r="B5" s="198">
        <v>362</v>
      </c>
      <c r="C5" s="198">
        <v>1166</v>
      </c>
      <c r="D5" s="198">
        <v>334</v>
      </c>
      <c r="E5" s="198">
        <v>4180</v>
      </c>
      <c r="F5" s="198">
        <v>1352</v>
      </c>
      <c r="G5" s="198">
        <v>572</v>
      </c>
      <c r="H5" s="198">
        <v>2697</v>
      </c>
      <c r="I5" s="198">
        <v>664</v>
      </c>
      <c r="J5" s="198">
        <v>370</v>
      </c>
      <c r="K5" s="198">
        <v>1302</v>
      </c>
      <c r="L5" s="198">
        <v>1963</v>
      </c>
      <c r="M5" s="198">
        <v>1330</v>
      </c>
      <c r="N5" s="198">
        <v>915</v>
      </c>
      <c r="O5" s="199">
        <v>903</v>
      </c>
    </row>
    <row r="6" spans="1:15" ht="15" customHeight="1">
      <c r="A6" s="197" t="s">
        <v>459</v>
      </c>
      <c r="B6" s="198">
        <v>265</v>
      </c>
      <c r="C6" s="198">
        <v>514</v>
      </c>
      <c r="D6" s="198">
        <v>346</v>
      </c>
      <c r="E6" s="198">
        <v>5219</v>
      </c>
      <c r="F6" s="198">
        <v>1398</v>
      </c>
      <c r="G6" s="198">
        <v>1189</v>
      </c>
      <c r="H6" s="198">
        <v>3828</v>
      </c>
      <c r="I6" s="198">
        <v>368</v>
      </c>
      <c r="J6" s="198">
        <v>424</v>
      </c>
      <c r="K6" s="198">
        <v>1782</v>
      </c>
      <c r="L6" s="198">
        <v>2478</v>
      </c>
      <c r="M6" s="198">
        <v>1011</v>
      </c>
      <c r="N6" s="198">
        <v>1420</v>
      </c>
      <c r="O6" s="199">
        <v>675</v>
      </c>
    </row>
    <row r="7" spans="1:15" ht="15" customHeight="1">
      <c r="A7" s="197" t="s">
        <v>335</v>
      </c>
      <c r="B7" s="198">
        <v>224</v>
      </c>
      <c r="C7" s="198">
        <v>366</v>
      </c>
      <c r="D7" s="198">
        <v>371</v>
      </c>
      <c r="E7" s="198">
        <v>4223</v>
      </c>
      <c r="F7" s="198">
        <v>986</v>
      </c>
      <c r="G7" s="198">
        <v>617</v>
      </c>
      <c r="H7" s="198">
        <v>7106</v>
      </c>
      <c r="I7" s="198">
        <v>616</v>
      </c>
      <c r="J7" s="198">
        <v>287</v>
      </c>
      <c r="K7" s="198">
        <v>2342</v>
      </c>
      <c r="L7" s="198">
        <v>1406</v>
      </c>
      <c r="M7" s="198">
        <v>1271</v>
      </c>
      <c r="N7" s="198">
        <v>463</v>
      </c>
      <c r="O7" s="199">
        <v>615</v>
      </c>
    </row>
    <row r="8" spans="1:15" ht="15" customHeight="1">
      <c r="A8" s="197" t="s">
        <v>337</v>
      </c>
      <c r="B8" s="198">
        <v>284</v>
      </c>
      <c r="C8" s="198">
        <v>275</v>
      </c>
      <c r="D8" s="198">
        <v>278</v>
      </c>
      <c r="E8" s="198">
        <v>2636</v>
      </c>
      <c r="F8" s="198">
        <v>1156</v>
      </c>
      <c r="G8" s="198">
        <v>666</v>
      </c>
      <c r="H8" s="198">
        <v>1486</v>
      </c>
      <c r="I8" s="198">
        <v>303</v>
      </c>
      <c r="J8" s="198">
        <v>233</v>
      </c>
      <c r="K8" s="198">
        <v>1352</v>
      </c>
      <c r="L8" s="198">
        <v>976</v>
      </c>
      <c r="M8" s="198">
        <v>479</v>
      </c>
      <c r="N8" s="198">
        <v>236</v>
      </c>
      <c r="O8" s="199">
        <v>500</v>
      </c>
    </row>
    <row r="9" spans="1:15" ht="15" customHeight="1">
      <c r="A9" s="197" t="s">
        <v>339</v>
      </c>
      <c r="B9" s="198">
        <v>324</v>
      </c>
      <c r="C9" s="198">
        <v>255</v>
      </c>
      <c r="D9" s="198">
        <v>267</v>
      </c>
      <c r="E9" s="198">
        <v>5795</v>
      </c>
      <c r="F9" s="198">
        <v>884</v>
      </c>
      <c r="G9" s="198">
        <v>567</v>
      </c>
      <c r="H9" s="198">
        <v>4316</v>
      </c>
      <c r="I9" s="198">
        <v>660</v>
      </c>
      <c r="J9" s="198">
        <v>252</v>
      </c>
      <c r="K9" s="198">
        <v>1516</v>
      </c>
      <c r="L9" s="198">
        <v>2261</v>
      </c>
      <c r="M9" s="198">
        <v>1735</v>
      </c>
      <c r="N9" s="198">
        <v>1645</v>
      </c>
      <c r="O9" s="199">
        <v>588</v>
      </c>
    </row>
    <row r="10" spans="1:15" ht="15" customHeight="1">
      <c r="A10" s="197" t="s">
        <v>345</v>
      </c>
      <c r="B10" s="198">
        <v>353</v>
      </c>
      <c r="C10" s="198">
        <v>251</v>
      </c>
      <c r="D10" s="198">
        <v>268</v>
      </c>
      <c r="E10" s="198">
        <v>1167</v>
      </c>
      <c r="F10" s="198">
        <v>1151</v>
      </c>
      <c r="G10" s="198">
        <v>648</v>
      </c>
      <c r="H10" s="198">
        <v>5865</v>
      </c>
      <c r="I10" s="198">
        <v>424</v>
      </c>
      <c r="J10" s="198">
        <v>403</v>
      </c>
      <c r="K10" s="198">
        <v>2019</v>
      </c>
      <c r="L10" s="198">
        <v>906</v>
      </c>
      <c r="M10" s="198">
        <v>707</v>
      </c>
      <c r="N10" s="198">
        <v>196</v>
      </c>
      <c r="O10" s="199">
        <v>627</v>
      </c>
    </row>
    <row r="11" spans="1:15" ht="15" customHeight="1">
      <c r="A11" s="197" t="s">
        <v>347</v>
      </c>
      <c r="B11" s="198">
        <v>305</v>
      </c>
      <c r="C11" s="198">
        <v>555</v>
      </c>
      <c r="D11" s="198">
        <v>319</v>
      </c>
      <c r="E11" s="198">
        <v>4695</v>
      </c>
      <c r="F11" s="198">
        <v>1204</v>
      </c>
      <c r="G11" s="198">
        <v>591</v>
      </c>
      <c r="H11" s="198">
        <v>4248</v>
      </c>
      <c r="I11" s="198">
        <v>342</v>
      </c>
      <c r="J11" s="198">
        <v>200</v>
      </c>
      <c r="K11" s="198">
        <v>1450</v>
      </c>
      <c r="L11" s="198">
        <v>1513</v>
      </c>
      <c r="M11" s="198">
        <v>1790</v>
      </c>
      <c r="N11" s="198">
        <v>775</v>
      </c>
      <c r="O11" s="199">
        <v>666</v>
      </c>
    </row>
    <row r="12" spans="1:15" ht="15" customHeight="1">
      <c r="A12" s="197" t="s">
        <v>351</v>
      </c>
      <c r="B12" s="198">
        <v>235</v>
      </c>
      <c r="C12" s="198">
        <v>383</v>
      </c>
      <c r="D12" s="198">
        <v>297</v>
      </c>
      <c r="E12" s="198">
        <v>4062</v>
      </c>
      <c r="F12" s="198">
        <v>901</v>
      </c>
      <c r="G12" s="198">
        <v>522</v>
      </c>
      <c r="H12" s="198">
        <v>1786</v>
      </c>
      <c r="I12" s="198">
        <v>539</v>
      </c>
      <c r="J12" s="198">
        <v>277</v>
      </c>
      <c r="K12" s="198">
        <v>1525</v>
      </c>
      <c r="L12" s="198">
        <v>1636</v>
      </c>
      <c r="M12" s="198">
        <v>1001</v>
      </c>
      <c r="N12" s="198">
        <v>270</v>
      </c>
      <c r="O12" s="199">
        <v>537</v>
      </c>
    </row>
    <row r="13" spans="1:15" ht="15" customHeight="1">
      <c r="A13" s="197" t="s">
        <v>355</v>
      </c>
      <c r="B13" s="198">
        <v>301</v>
      </c>
      <c r="C13" s="198">
        <v>438</v>
      </c>
      <c r="D13" s="198">
        <v>222</v>
      </c>
      <c r="E13" s="198">
        <v>1949</v>
      </c>
      <c r="F13" s="198">
        <v>960</v>
      </c>
      <c r="G13" s="198">
        <v>663</v>
      </c>
      <c r="H13" s="198">
        <v>1632</v>
      </c>
      <c r="I13" s="198">
        <v>707</v>
      </c>
      <c r="J13" s="198">
        <v>312</v>
      </c>
      <c r="K13" s="198">
        <v>1585</v>
      </c>
      <c r="L13" s="198">
        <v>2469</v>
      </c>
      <c r="M13" s="198">
        <v>372</v>
      </c>
      <c r="N13" s="198">
        <v>139</v>
      </c>
      <c r="O13" s="199">
        <v>580</v>
      </c>
    </row>
    <row r="14" spans="1:15" ht="15" customHeight="1">
      <c r="A14" s="197" t="s">
        <v>365</v>
      </c>
      <c r="B14" s="198">
        <v>298</v>
      </c>
      <c r="C14" s="198">
        <v>533</v>
      </c>
      <c r="D14" s="198">
        <v>243</v>
      </c>
      <c r="E14" s="198">
        <v>2221</v>
      </c>
      <c r="F14" s="198">
        <v>1434</v>
      </c>
      <c r="G14" s="198">
        <v>621</v>
      </c>
      <c r="H14" s="198">
        <v>3215</v>
      </c>
      <c r="I14" s="198">
        <v>1025</v>
      </c>
      <c r="J14" s="198">
        <v>256</v>
      </c>
      <c r="K14" s="198">
        <v>1154</v>
      </c>
      <c r="L14" s="198">
        <v>1960</v>
      </c>
      <c r="M14" s="198">
        <v>1053</v>
      </c>
      <c r="N14" s="198">
        <v>637</v>
      </c>
      <c r="O14" s="199">
        <v>595</v>
      </c>
    </row>
    <row r="15" spans="1:15" ht="15" customHeight="1">
      <c r="A15" s="197" t="s">
        <v>367</v>
      </c>
      <c r="B15" s="198">
        <v>294</v>
      </c>
      <c r="C15" s="198">
        <v>516</v>
      </c>
      <c r="D15" s="198">
        <v>269</v>
      </c>
      <c r="E15" s="198">
        <v>2763</v>
      </c>
      <c r="F15" s="198">
        <v>807</v>
      </c>
      <c r="G15" s="198">
        <v>651</v>
      </c>
      <c r="H15" s="198">
        <v>2074</v>
      </c>
      <c r="I15" s="198">
        <v>456</v>
      </c>
      <c r="J15" s="198">
        <v>360</v>
      </c>
      <c r="K15" s="198">
        <v>1289</v>
      </c>
      <c r="L15" s="198">
        <v>1459</v>
      </c>
      <c r="M15" s="198">
        <v>689</v>
      </c>
      <c r="N15" s="198">
        <v>715</v>
      </c>
      <c r="O15" s="199">
        <v>526</v>
      </c>
    </row>
    <row r="16" spans="1:15" ht="15" customHeight="1">
      <c r="A16" s="197" t="s">
        <v>369</v>
      </c>
      <c r="B16" s="198">
        <v>218</v>
      </c>
      <c r="C16" s="198">
        <v>299</v>
      </c>
      <c r="D16" s="198">
        <v>286</v>
      </c>
      <c r="E16" s="198">
        <v>3896</v>
      </c>
      <c r="F16" s="198">
        <v>646</v>
      </c>
      <c r="G16" s="198">
        <v>424</v>
      </c>
      <c r="H16" s="198">
        <v>2139</v>
      </c>
      <c r="I16" s="198">
        <v>518</v>
      </c>
      <c r="J16" s="198">
        <v>306</v>
      </c>
      <c r="K16" s="198">
        <v>1731</v>
      </c>
      <c r="L16" s="198">
        <v>1701</v>
      </c>
      <c r="M16" s="198">
        <v>778</v>
      </c>
      <c r="N16" s="198">
        <v>280</v>
      </c>
      <c r="O16" s="199">
        <v>495</v>
      </c>
    </row>
    <row r="17" spans="1:15" ht="15" customHeight="1">
      <c r="A17" s="197" t="s">
        <v>323</v>
      </c>
      <c r="B17" s="198">
        <v>221</v>
      </c>
      <c r="C17" s="198">
        <v>482</v>
      </c>
      <c r="D17" s="198">
        <v>293</v>
      </c>
      <c r="E17" s="198">
        <v>2231</v>
      </c>
      <c r="F17" s="198">
        <v>960</v>
      </c>
      <c r="G17" s="198">
        <v>431</v>
      </c>
      <c r="H17" s="198">
        <v>2336</v>
      </c>
      <c r="I17" s="198">
        <v>200</v>
      </c>
      <c r="J17" s="198">
        <v>257</v>
      </c>
      <c r="K17" s="198">
        <v>620</v>
      </c>
      <c r="L17" s="198">
        <v>986</v>
      </c>
      <c r="M17" s="198">
        <v>503</v>
      </c>
      <c r="N17" s="198">
        <v>492</v>
      </c>
      <c r="O17" s="199">
        <v>576</v>
      </c>
    </row>
    <row r="18" spans="1:15" ht="15" customHeight="1">
      <c r="A18" s="197" t="s">
        <v>460</v>
      </c>
      <c r="B18" s="198">
        <v>375</v>
      </c>
      <c r="C18" s="198">
        <v>703</v>
      </c>
      <c r="D18" s="198">
        <v>214</v>
      </c>
      <c r="E18" s="198">
        <v>401</v>
      </c>
      <c r="F18" s="198">
        <v>1262</v>
      </c>
      <c r="G18" s="198">
        <v>414</v>
      </c>
      <c r="H18" s="198">
        <v>2699</v>
      </c>
      <c r="I18" s="198">
        <v>172</v>
      </c>
      <c r="J18" s="198">
        <v>132</v>
      </c>
      <c r="K18" s="200" t="s">
        <v>461</v>
      </c>
      <c r="L18" s="198">
        <v>736</v>
      </c>
      <c r="M18" s="198">
        <v>852</v>
      </c>
      <c r="N18" s="198">
        <v>533</v>
      </c>
      <c r="O18" s="199">
        <v>557</v>
      </c>
    </row>
    <row r="19" spans="1:15" ht="15" customHeight="1">
      <c r="A19" s="197" t="s">
        <v>462</v>
      </c>
      <c r="B19" s="198">
        <v>289</v>
      </c>
      <c r="C19" s="198">
        <v>600</v>
      </c>
      <c r="D19" s="198">
        <v>275</v>
      </c>
      <c r="E19" s="198">
        <v>3339</v>
      </c>
      <c r="F19" s="198">
        <v>968</v>
      </c>
      <c r="G19" s="198">
        <v>475</v>
      </c>
      <c r="H19" s="198">
        <v>3136</v>
      </c>
      <c r="I19" s="198">
        <v>497</v>
      </c>
      <c r="J19" s="198">
        <v>339</v>
      </c>
      <c r="K19" s="198">
        <v>1307</v>
      </c>
      <c r="L19" s="198">
        <v>1501</v>
      </c>
      <c r="M19" s="198">
        <v>829</v>
      </c>
      <c r="N19" s="198">
        <v>711</v>
      </c>
      <c r="O19" s="199">
        <v>581</v>
      </c>
    </row>
    <row r="20" spans="1:15" ht="15" customHeight="1">
      <c r="A20" s="197" t="s">
        <v>333</v>
      </c>
      <c r="B20" s="198">
        <v>265</v>
      </c>
      <c r="C20" s="198">
        <v>281</v>
      </c>
      <c r="D20" s="198">
        <v>276</v>
      </c>
      <c r="E20" s="198">
        <v>2649</v>
      </c>
      <c r="F20" s="198">
        <v>680</v>
      </c>
      <c r="G20" s="198">
        <v>304</v>
      </c>
      <c r="H20" s="198">
        <v>3571</v>
      </c>
      <c r="I20" s="198">
        <v>389</v>
      </c>
      <c r="J20" s="198">
        <v>269</v>
      </c>
      <c r="K20" s="198">
        <v>748</v>
      </c>
      <c r="L20" s="198">
        <v>1023</v>
      </c>
      <c r="M20" s="198">
        <v>467</v>
      </c>
      <c r="N20" s="198">
        <v>328</v>
      </c>
      <c r="O20" s="199">
        <v>493</v>
      </c>
    </row>
    <row r="21" spans="1:15" ht="15" customHeight="1">
      <c r="A21" s="197" t="s">
        <v>463</v>
      </c>
      <c r="B21" s="198">
        <v>253</v>
      </c>
      <c r="C21" s="198">
        <v>500</v>
      </c>
      <c r="D21" s="198">
        <v>268</v>
      </c>
      <c r="E21" s="198">
        <v>7630</v>
      </c>
      <c r="F21" s="198">
        <v>945</v>
      </c>
      <c r="G21" s="198">
        <v>395</v>
      </c>
      <c r="H21" s="198">
        <v>1454</v>
      </c>
      <c r="I21" s="198">
        <v>496</v>
      </c>
      <c r="J21" s="198">
        <v>467</v>
      </c>
      <c r="K21" s="198">
        <v>1521</v>
      </c>
      <c r="L21" s="198">
        <v>854</v>
      </c>
      <c r="M21" s="198">
        <v>677</v>
      </c>
      <c r="N21" s="198">
        <v>3383</v>
      </c>
      <c r="O21" s="199">
        <v>552</v>
      </c>
    </row>
    <row r="22" spans="1:15" ht="15" customHeight="1">
      <c r="A22" s="197" t="s">
        <v>464</v>
      </c>
      <c r="B22" s="198">
        <v>287</v>
      </c>
      <c r="C22" s="198">
        <v>445</v>
      </c>
      <c r="D22" s="198">
        <v>288</v>
      </c>
      <c r="E22" s="198">
        <v>4688</v>
      </c>
      <c r="F22" s="198">
        <v>1153</v>
      </c>
      <c r="G22" s="198">
        <v>464</v>
      </c>
      <c r="H22" s="198">
        <v>3277</v>
      </c>
      <c r="I22" s="198">
        <v>926</v>
      </c>
      <c r="J22" s="198">
        <v>411</v>
      </c>
      <c r="K22" s="198">
        <v>1835</v>
      </c>
      <c r="L22" s="198">
        <v>2488</v>
      </c>
      <c r="M22" s="198">
        <v>1012</v>
      </c>
      <c r="N22" s="198">
        <v>950</v>
      </c>
      <c r="O22" s="199">
        <v>674</v>
      </c>
    </row>
    <row r="23" spans="1:15" ht="15" customHeight="1">
      <c r="A23" s="197" t="s">
        <v>361</v>
      </c>
      <c r="B23" s="198">
        <v>293</v>
      </c>
      <c r="C23" s="198">
        <v>338</v>
      </c>
      <c r="D23" s="198">
        <v>250</v>
      </c>
      <c r="E23" s="198">
        <v>2406</v>
      </c>
      <c r="F23" s="198">
        <v>1622</v>
      </c>
      <c r="G23" s="198">
        <v>432</v>
      </c>
      <c r="H23" s="198">
        <v>3736</v>
      </c>
      <c r="I23" s="198">
        <v>369</v>
      </c>
      <c r="J23" s="198">
        <v>321</v>
      </c>
      <c r="K23" s="198">
        <v>1345</v>
      </c>
      <c r="L23" s="198">
        <v>1270</v>
      </c>
      <c r="M23" s="198">
        <v>576</v>
      </c>
      <c r="N23" s="198">
        <v>188</v>
      </c>
      <c r="O23" s="199">
        <v>621</v>
      </c>
    </row>
    <row r="24" spans="1:15" ht="15" customHeight="1">
      <c r="A24" s="197" t="s">
        <v>465</v>
      </c>
      <c r="B24" s="198">
        <v>268</v>
      </c>
      <c r="C24" s="198">
        <v>440</v>
      </c>
      <c r="D24" s="198">
        <v>349</v>
      </c>
      <c r="E24" s="198">
        <v>3785</v>
      </c>
      <c r="F24" s="198">
        <v>756</v>
      </c>
      <c r="G24" s="198">
        <v>690</v>
      </c>
      <c r="H24" s="198">
        <v>2075</v>
      </c>
      <c r="I24" s="198">
        <v>127</v>
      </c>
      <c r="J24" s="198">
        <v>659</v>
      </c>
      <c r="K24" s="198">
        <v>443</v>
      </c>
      <c r="L24" s="198">
        <v>624</v>
      </c>
      <c r="M24" s="198">
        <v>342</v>
      </c>
      <c r="N24" s="198">
        <v>929</v>
      </c>
      <c r="O24" s="199">
        <v>505</v>
      </c>
    </row>
    <row r="25" spans="1:15" ht="15" customHeight="1">
      <c r="A25" s="197" t="s">
        <v>466</v>
      </c>
      <c r="B25" s="198">
        <v>618</v>
      </c>
      <c r="C25" s="198">
        <v>318</v>
      </c>
      <c r="D25" s="198">
        <v>280</v>
      </c>
      <c r="E25" s="198">
        <v>3395</v>
      </c>
      <c r="F25" s="198">
        <v>1302</v>
      </c>
      <c r="G25" s="198">
        <v>608</v>
      </c>
      <c r="H25" s="198">
        <v>3879</v>
      </c>
      <c r="I25" s="198">
        <v>1053</v>
      </c>
      <c r="J25" s="198">
        <v>154</v>
      </c>
      <c r="K25" s="198">
        <v>1180</v>
      </c>
      <c r="L25" s="198">
        <v>1212</v>
      </c>
      <c r="M25" s="198">
        <v>764</v>
      </c>
      <c r="N25" s="198">
        <v>1114</v>
      </c>
      <c r="O25" s="199">
        <v>813</v>
      </c>
    </row>
    <row r="26" spans="1:15" ht="15" customHeight="1">
      <c r="A26" s="197" t="s">
        <v>467</v>
      </c>
      <c r="B26" s="198">
        <v>285</v>
      </c>
      <c r="C26" s="198">
        <v>327</v>
      </c>
      <c r="D26" s="198">
        <v>203</v>
      </c>
      <c r="E26" s="198">
        <v>4050</v>
      </c>
      <c r="F26" s="198">
        <v>586</v>
      </c>
      <c r="G26" s="198">
        <v>298</v>
      </c>
      <c r="H26" s="198">
        <v>3480</v>
      </c>
      <c r="I26" s="198">
        <v>300</v>
      </c>
      <c r="J26" s="198">
        <v>656</v>
      </c>
      <c r="K26" s="198">
        <v>1490</v>
      </c>
      <c r="L26" s="198">
        <v>2972</v>
      </c>
      <c r="M26" s="198">
        <v>447</v>
      </c>
      <c r="N26" s="198">
        <v>582</v>
      </c>
      <c r="O26" s="199">
        <v>523</v>
      </c>
    </row>
    <row r="27" spans="1:15" ht="15" customHeight="1">
      <c r="A27" s="197" t="s">
        <v>468</v>
      </c>
      <c r="B27" s="198">
        <v>287</v>
      </c>
      <c r="C27" s="198">
        <v>435</v>
      </c>
      <c r="D27" s="198">
        <v>266</v>
      </c>
      <c r="E27" s="198">
        <v>3584</v>
      </c>
      <c r="F27" s="198">
        <v>1097</v>
      </c>
      <c r="G27" s="198">
        <v>489</v>
      </c>
      <c r="H27" s="198">
        <v>1822</v>
      </c>
      <c r="I27" s="198">
        <v>421</v>
      </c>
      <c r="J27" s="198">
        <v>240</v>
      </c>
      <c r="K27" s="198">
        <v>1937</v>
      </c>
      <c r="L27" s="198">
        <v>1292</v>
      </c>
      <c r="M27" s="198">
        <v>960</v>
      </c>
      <c r="N27" s="198">
        <v>449</v>
      </c>
      <c r="O27" s="199">
        <v>596</v>
      </c>
    </row>
    <row r="28" spans="1:15" ht="15" customHeight="1">
      <c r="A28" s="197" t="s">
        <v>341</v>
      </c>
      <c r="B28" s="198">
        <v>233</v>
      </c>
      <c r="C28" s="198">
        <v>855</v>
      </c>
      <c r="D28" s="198">
        <v>276</v>
      </c>
      <c r="E28" s="198">
        <v>1280</v>
      </c>
      <c r="F28" s="198">
        <v>585</v>
      </c>
      <c r="G28" s="198">
        <v>632</v>
      </c>
      <c r="H28" s="198">
        <v>878</v>
      </c>
      <c r="I28" s="200" t="s">
        <v>461</v>
      </c>
      <c r="J28" s="198">
        <v>396</v>
      </c>
      <c r="K28" s="198">
        <v>881</v>
      </c>
      <c r="L28" s="198">
        <v>1298</v>
      </c>
      <c r="M28" s="200" t="s">
        <v>461</v>
      </c>
      <c r="N28" s="198">
        <v>55</v>
      </c>
      <c r="O28" s="199">
        <v>477</v>
      </c>
    </row>
    <row r="29" spans="1:15" ht="15" customHeight="1">
      <c r="A29" s="197" t="s">
        <v>349</v>
      </c>
      <c r="B29" s="198">
        <v>261</v>
      </c>
      <c r="C29" s="198">
        <v>261</v>
      </c>
      <c r="D29" s="198">
        <v>282</v>
      </c>
      <c r="E29" s="198">
        <v>3530</v>
      </c>
      <c r="F29" s="198">
        <v>910</v>
      </c>
      <c r="G29" s="198">
        <v>621</v>
      </c>
      <c r="H29" s="198">
        <v>1916</v>
      </c>
      <c r="I29" s="198">
        <v>993</v>
      </c>
      <c r="J29" s="198">
        <v>256</v>
      </c>
      <c r="K29" s="198">
        <v>1380</v>
      </c>
      <c r="L29" s="198">
        <v>536</v>
      </c>
      <c r="M29" s="198">
        <v>1007</v>
      </c>
      <c r="N29" s="198">
        <v>515</v>
      </c>
      <c r="O29" s="199">
        <v>478</v>
      </c>
    </row>
    <row r="30" spans="1:15" ht="15" customHeight="1">
      <c r="A30" s="197" t="s">
        <v>357</v>
      </c>
      <c r="B30" s="198">
        <v>278</v>
      </c>
      <c r="C30" s="198">
        <v>431</v>
      </c>
      <c r="D30" s="198">
        <v>259</v>
      </c>
      <c r="E30" s="198">
        <v>1944</v>
      </c>
      <c r="F30" s="198">
        <v>810</v>
      </c>
      <c r="G30" s="198">
        <v>523</v>
      </c>
      <c r="H30" s="198">
        <v>3887</v>
      </c>
      <c r="I30" s="198">
        <v>789</v>
      </c>
      <c r="J30" s="198">
        <v>493</v>
      </c>
      <c r="K30" s="198">
        <v>1379</v>
      </c>
      <c r="L30" s="198">
        <v>437</v>
      </c>
      <c r="M30" s="198">
        <v>634</v>
      </c>
      <c r="N30" s="198">
        <v>952</v>
      </c>
      <c r="O30" s="199">
        <v>482</v>
      </c>
    </row>
    <row r="31" spans="1:15" ht="15" customHeight="1">
      <c r="A31" s="197" t="s">
        <v>359</v>
      </c>
      <c r="B31" s="198">
        <v>317</v>
      </c>
      <c r="C31" s="198">
        <v>398</v>
      </c>
      <c r="D31" s="198">
        <v>290</v>
      </c>
      <c r="E31" s="198">
        <v>1222</v>
      </c>
      <c r="F31" s="198">
        <v>946</v>
      </c>
      <c r="G31" s="198">
        <v>441</v>
      </c>
      <c r="H31" s="198">
        <v>2991</v>
      </c>
      <c r="I31" s="198">
        <v>1037</v>
      </c>
      <c r="J31" s="198">
        <v>268</v>
      </c>
      <c r="K31" s="198">
        <v>2137</v>
      </c>
      <c r="L31" s="198">
        <v>1510</v>
      </c>
      <c r="M31" s="198">
        <v>665</v>
      </c>
      <c r="N31" s="198">
        <v>883</v>
      </c>
      <c r="O31" s="199">
        <v>546</v>
      </c>
    </row>
    <row r="32" spans="1:15" ht="15" customHeight="1">
      <c r="A32" s="197" t="s">
        <v>321</v>
      </c>
      <c r="B32" s="198">
        <v>227</v>
      </c>
      <c r="C32" s="198">
        <v>362</v>
      </c>
      <c r="D32" s="198">
        <v>244</v>
      </c>
      <c r="E32" s="198">
        <v>2321</v>
      </c>
      <c r="F32" s="198">
        <v>619</v>
      </c>
      <c r="G32" s="198">
        <v>406</v>
      </c>
      <c r="H32" s="198">
        <v>1709</v>
      </c>
      <c r="I32" s="198">
        <v>383</v>
      </c>
      <c r="J32" s="198">
        <v>348</v>
      </c>
      <c r="K32" s="198">
        <v>3052</v>
      </c>
      <c r="L32" s="198">
        <v>998</v>
      </c>
      <c r="M32" s="198">
        <v>621</v>
      </c>
      <c r="N32" s="198">
        <v>369</v>
      </c>
      <c r="O32" s="199">
        <v>409</v>
      </c>
    </row>
    <row r="33" spans="1:15" ht="15" customHeight="1">
      <c r="A33" s="197" t="s">
        <v>327</v>
      </c>
      <c r="B33" s="198">
        <v>249</v>
      </c>
      <c r="C33" s="198">
        <v>378</v>
      </c>
      <c r="D33" s="198">
        <v>318</v>
      </c>
      <c r="E33" s="198">
        <v>2270</v>
      </c>
      <c r="F33" s="198">
        <v>1187</v>
      </c>
      <c r="G33" s="198">
        <v>487</v>
      </c>
      <c r="H33" s="198">
        <v>2726</v>
      </c>
      <c r="I33" s="198">
        <v>499</v>
      </c>
      <c r="J33" s="198">
        <v>412</v>
      </c>
      <c r="K33" s="198">
        <v>968</v>
      </c>
      <c r="L33" s="198">
        <v>1031</v>
      </c>
      <c r="M33" s="198">
        <v>776</v>
      </c>
      <c r="N33" s="198">
        <v>546</v>
      </c>
      <c r="O33" s="199">
        <v>546</v>
      </c>
    </row>
    <row r="34" spans="1:15" ht="15" customHeight="1">
      <c r="A34" s="197" t="s">
        <v>353</v>
      </c>
      <c r="B34" s="198">
        <v>308</v>
      </c>
      <c r="C34" s="198">
        <v>165</v>
      </c>
      <c r="D34" s="198">
        <v>365</v>
      </c>
      <c r="E34" s="198">
        <v>4972</v>
      </c>
      <c r="F34" s="198">
        <v>1226</v>
      </c>
      <c r="G34" s="198">
        <v>671</v>
      </c>
      <c r="H34" s="198">
        <v>1652</v>
      </c>
      <c r="I34" s="198">
        <v>135</v>
      </c>
      <c r="J34" s="198">
        <v>523</v>
      </c>
      <c r="K34" s="198">
        <v>1196</v>
      </c>
      <c r="L34" s="198">
        <v>1852</v>
      </c>
      <c r="M34" s="198">
        <v>946</v>
      </c>
      <c r="N34" s="198">
        <v>880</v>
      </c>
      <c r="O34" s="199">
        <v>614</v>
      </c>
    </row>
    <row r="35" spans="1:15" ht="15" customHeight="1">
      <c r="A35" s="201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9"/>
    </row>
    <row r="36" spans="1:15" ht="15" customHeight="1">
      <c r="A36" s="202" t="s">
        <v>82</v>
      </c>
      <c r="B36" s="203">
        <v>302</v>
      </c>
      <c r="C36" s="203">
        <v>728</v>
      </c>
      <c r="D36" s="203">
        <v>297</v>
      </c>
      <c r="E36" s="203">
        <v>3365</v>
      </c>
      <c r="F36" s="203">
        <v>1142</v>
      </c>
      <c r="G36" s="203">
        <v>575</v>
      </c>
      <c r="H36" s="203">
        <v>2859</v>
      </c>
      <c r="I36" s="203">
        <v>547</v>
      </c>
      <c r="J36" s="203">
        <v>331</v>
      </c>
      <c r="K36" s="203">
        <v>1417</v>
      </c>
      <c r="L36" s="203">
        <v>1565</v>
      </c>
      <c r="M36" s="203">
        <v>969</v>
      </c>
      <c r="N36" s="203">
        <v>744</v>
      </c>
      <c r="O36" s="203">
        <v>670</v>
      </c>
    </row>
    <row r="37" spans="1:15" ht="15" customHeight="1">
      <c r="A37" s="614" t="s">
        <v>469</v>
      </c>
      <c r="B37" s="614"/>
      <c r="C37" s="614"/>
      <c r="D37" s="614"/>
      <c r="E37" s="614"/>
      <c r="F37" s="614"/>
      <c r="G37" s="614"/>
      <c r="H37" s="614"/>
      <c r="I37" s="614"/>
      <c r="J37" s="614"/>
      <c r="K37" s="614"/>
      <c r="L37" s="614"/>
      <c r="M37" s="614"/>
      <c r="N37" s="614"/>
      <c r="O37" s="614"/>
    </row>
    <row r="40" spans="1:15" ht="15" customHeight="1">
      <c r="A40" s="612" t="s">
        <v>481</v>
      </c>
      <c r="B40" s="612"/>
      <c r="C40" s="612"/>
      <c r="D40" s="612"/>
      <c r="E40" s="612"/>
      <c r="F40" s="612"/>
      <c r="G40" s="613"/>
      <c r="H40" s="204"/>
      <c r="I40" s="204"/>
      <c r="J40" s="204"/>
      <c r="K40" s="204"/>
      <c r="L40" s="204"/>
      <c r="M40" s="204"/>
      <c r="N40" s="204"/>
      <c r="O40" s="204"/>
    </row>
    <row r="41" spans="1:15" ht="15" customHeight="1">
      <c r="A41" s="615" t="s">
        <v>482</v>
      </c>
      <c r="B41" s="615"/>
      <c r="C41" s="615"/>
      <c r="D41" s="615"/>
      <c r="E41" s="615"/>
      <c r="F41" s="615"/>
      <c r="G41" s="190" t="s">
        <v>372</v>
      </c>
    </row>
    <row r="42" spans="1:15" ht="15" customHeight="1">
      <c r="A42" s="616" t="s">
        <v>483</v>
      </c>
      <c r="B42" s="618" t="s">
        <v>484</v>
      </c>
      <c r="C42" s="618"/>
      <c r="D42" s="618"/>
      <c r="E42" s="618"/>
      <c r="F42" s="618"/>
      <c r="G42" s="619" t="s">
        <v>491</v>
      </c>
    </row>
    <row r="43" spans="1:15" ht="15" customHeight="1">
      <c r="A43" s="617"/>
      <c r="B43" s="235" t="s">
        <v>485</v>
      </c>
      <c r="C43" s="235" t="s">
        <v>486</v>
      </c>
      <c r="D43" s="235" t="s">
        <v>1</v>
      </c>
      <c r="E43" s="235" t="s">
        <v>2</v>
      </c>
      <c r="F43" s="235" t="s">
        <v>65</v>
      </c>
      <c r="G43" s="620"/>
    </row>
    <row r="44" spans="1:15" ht="15" customHeight="1">
      <c r="A44" s="191" t="s">
        <v>441</v>
      </c>
      <c r="B44" s="198">
        <v>17</v>
      </c>
      <c r="C44" s="198">
        <v>4</v>
      </c>
      <c r="D44" s="198">
        <v>78</v>
      </c>
      <c r="E44" s="198">
        <v>1</v>
      </c>
      <c r="F44" s="198">
        <v>1</v>
      </c>
      <c r="G44" s="236">
        <v>20274</v>
      </c>
    </row>
    <row r="45" spans="1:15" ht="15" customHeight="1">
      <c r="A45" s="191" t="s">
        <v>440</v>
      </c>
      <c r="B45" s="198">
        <v>31</v>
      </c>
      <c r="C45" s="198">
        <v>7</v>
      </c>
      <c r="D45" s="198">
        <v>60</v>
      </c>
      <c r="E45" s="198">
        <v>1</v>
      </c>
      <c r="F45" s="198">
        <v>1</v>
      </c>
      <c r="G45" s="236">
        <v>12006</v>
      </c>
    </row>
    <row r="46" spans="1:15" ht="15" customHeight="1">
      <c r="A46" s="191" t="s">
        <v>487</v>
      </c>
      <c r="B46" s="198">
        <v>28</v>
      </c>
      <c r="C46" s="198">
        <v>24</v>
      </c>
      <c r="D46" s="198">
        <v>41</v>
      </c>
      <c r="E46" s="198">
        <v>4</v>
      </c>
      <c r="F46" s="198">
        <v>2</v>
      </c>
      <c r="G46" s="236">
        <v>4977</v>
      </c>
    </row>
    <row r="47" spans="1:15" ht="15" customHeight="1">
      <c r="A47" s="191" t="s">
        <v>442</v>
      </c>
      <c r="B47" s="198">
        <v>46</v>
      </c>
      <c r="C47" s="198">
        <v>30</v>
      </c>
      <c r="D47" s="198">
        <v>12</v>
      </c>
      <c r="E47" s="198">
        <v>12</v>
      </c>
      <c r="F47" s="198">
        <v>1</v>
      </c>
      <c r="G47" s="236">
        <v>766</v>
      </c>
    </row>
    <row r="48" spans="1:15" ht="15" customHeight="1">
      <c r="A48" s="191" t="s">
        <v>449</v>
      </c>
      <c r="B48" s="198">
        <v>32</v>
      </c>
      <c r="C48" s="198">
        <v>11</v>
      </c>
      <c r="D48" s="198">
        <v>55</v>
      </c>
      <c r="E48" s="198">
        <v>2</v>
      </c>
      <c r="F48" s="198">
        <v>0</v>
      </c>
      <c r="G48" s="236">
        <v>7369</v>
      </c>
    </row>
    <row r="49" spans="1:7" ht="15" customHeight="1">
      <c r="A49" s="191" t="s">
        <v>488</v>
      </c>
      <c r="B49" s="198">
        <v>27</v>
      </c>
      <c r="C49" s="198">
        <v>14</v>
      </c>
      <c r="D49" s="198">
        <v>55</v>
      </c>
      <c r="E49" s="198">
        <v>3</v>
      </c>
      <c r="F49" s="198">
        <v>1</v>
      </c>
      <c r="G49" s="236">
        <v>2184</v>
      </c>
    </row>
    <row r="50" spans="1:7" ht="15" customHeight="1">
      <c r="A50" s="191" t="s">
        <v>451</v>
      </c>
      <c r="B50" s="198">
        <v>30</v>
      </c>
      <c r="C50" s="198">
        <v>27</v>
      </c>
      <c r="D50" s="198">
        <v>36</v>
      </c>
      <c r="E50" s="198">
        <v>3</v>
      </c>
      <c r="F50" s="198">
        <v>3</v>
      </c>
      <c r="G50" s="236">
        <v>1138</v>
      </c>
    </row>
    <row r="51" spans="1:7" ht="15" customHeight="1">
      <c r="A51" s="191" t="s">
        <v>452</v>
      </c>
      <c r="B51" s="198">
        <v>31</v>
      </c>
      <c r="C51" s="198">
        <v>12</v>
      </c>
      <c r="D51" s="198">
        <v>55</v>
      </c>
      <c r="E51" s="198">
        <v>2</v>
      </c>
      <c r="F51" s="198">
        <v>1</v>
      </c>
      <c r="G51" s="236">
        <v>921</v>
      </c>
    </row>
    <row r="52" spans="1:7" ht="15" customHeight="1">
      <c r="A52" s="191" t="s">
        <v>489</v>
      </c>
      <c r="B52" s="198">
        <v>37</v>
      </c>
      <c r="C52" s="198">
        <v>26</v>
      </c>
      <c r="D52" s="198">
        <v>31</v>
      </c>
      <c r="E52" s="198">
        <v>4</v>
      </c>
      <c r="F52" s="198">
        <v>2</v>
      </c>
      <c r="G52" s="236">
        <v>880</v>
      </c>
    </row>
    <row r="53" spans="1:7" ht="15" customHeight="1">
      <c r="A53" s="191" t="s">
        <v>454</v>
      </c>
      <c r="B53" s="198">
        <v>40</v>
      </c>
      <c r="C53" s="198">
        <v>30</v>
      </c>
      <c r="D53" s="198">
        <v>15</v>
      </c>
      <c r="E53" s="198">
        <v>12</v>
      </c>
      <c r="F53" s="198">
        <v>3</v>
      </c>
      <c r="G53" s="236">
        <v>431</v>
      </c>
    </row>
    <row r="54" spans="1:7" ht="15" customHeight="1">
      <c r="A54" s="191" t="s">
        <v>455</v>
      </c>
      <c r="B54" s="198">
        <v>42</v>
      </c>
      <c r="C54" s="198">
        <v>26</v>
      </c>
      <c r="D54" s="198">
        <v>23</v>
      </c>
      <c r="E54" s="198">
        <v>6</v>
      </c>
      <c r="F54" s="198">
        <v>3</v>
      </c>
      <c r="G54" s="236">
        <v>779</v>
      </c>
    </row>
    <row r="55" spans="1:7" ht="15" customHeight="1">
      <c r="A55" s="191" t="s">
        <v>456</v>
      </c>
      <c r="B55" s="198">
        <v>41</v>
      </c>
      <c r="C55" s="198">
        <v>10</v>
      </c>
      <c r="D55" s="198">
        <v>43</v>
      </c>
      <c r="E55" s="198">
        <v>5</v>
      </c>
      <c r="F55" s="198">
        <v>1</v>
      </c>
      <c r="G55" s="236">
        <v>473</v>
      </c>
    </row>
    <row r="56" spans="1:7" ht="15" customHeight="1">
      <c r="A56" s="191" t="s">
        <v>65</v>
      </c>
      <c r="B56" s="198">
        <v>31</v>
      </c>
      <c r="C56" s="198">
        <v>11</v>
      </c>
      <c r="D56" s="198">
        <v>52</v>
      </c>
      <c r="E56" s="198">
        <v>4</v>
      </c>
      <c r="F56" s="198">
        <v>2</v>
      </c>
      <c r="G56" s="236">
        <v>909</v>
      </c>
    </row>
    <row r="57" spans="1:7" ht="15" customHeight="1">
      <c r="A57" s="197"/>
      <c r="B57" s="200"/>
      <c r="C57" s="200"/>
      <c r="D57" s="200"/>
      <c r="E57" s="200"/>
      <c r="F57" s="200"/>
      <c r="G57" s="200"/>
    </row>
    <row r="58" spans="1:7" ht="15" customHeight="1">
      <c r="A58" s="237" t="s">
        <v>145</v>
      </c>
      <c r="B58" s="238">
        <v>26</v>
      </c>
      <c r="C58" s="238">
        <v>10</v>
      </c>
      <c r="D58" s="238">
        <v>61</v>
      </c>
      <c r="E58" s="238">
        <v>2</v>
      </c>
      <c r="F58" s="238">
        <v>1</v>
      </c>
      <c r="G58" s="238">
        <v>53107</v>
      </c>
    </row>
    <row r="64" spans="1:7" ht="15" customHeight="1">
      <c r="A64" s="609"/>
      <c r="B64" s="607" t="s">
        <v>493</v>
      </c>
      <c r="C64" s="607" t="s">
        <v>80</v>
      </c>
      <c r="D64" s="611" t="s">
        <v>492</v>
      </c>
      <c r="E64" s="611"/>
      <c r="F64" s="607" t="s">
        <v>33</v>
      </c>
      <c r="G64" s="607" t="s">
        <v>490</v>
      </c>
    </row>
    <row r="65" spans="1:7" ht="15" customHeight="1">
      <c r="A65" s="610"/>
      <c r="B65" s="608"/>
      <c r="C65" s="608"/>
      <c r="D65" s="240" t="s">
        <v>33</v>
      </c>
      <c r="E65" s="64" t="s">
        <v>490</v>
      </c>
      <c r="F65" s="608"/>
      <c r="G65" s="608"/>
    </row>
    <row r="66" spans="1:7" ht="15" customHeight="1">
      <c r="A66" t="s">
        <v>441</v>
      </c>
      <c r="B66" s="241">
        <f t="shared" ref="B66:B78" si="0">G44*SUMIFS($B$36:$O$36,$B$3:$O$3,$A44)/10^6</f>
        <v>6.1227479999999996</v>
      </c>
      <c r="C66" s="61">
        <f>B66/'CSO data'!$B$80</f>
        <v>0.18794160267037238</v>
      </c>
      <c r="D66" s="248">
        <v>0</v>
      </c>
      <c r="E66" s="248">
        <v>1</v>
      </c>
      <c r="F66" s="239">
        <f>C66*D66</f>
        <v>0</v>
      </c>
      <c r="G66" s="239">
        <f>C66*E66</f>
        <v>0.18794160267037238</v>
      </c>
    </row>
    <row r="67" spans="1:7" ht="15" customHeight="1">
      <c r="A67" s="9" t="s">
        <v>440</v>
      </c>
      <c r="B67" s="241">
        <f t="shared" si="0"/>
        <v>8.7403680000000001</v>
      </c>
      <c r="C67" s="61">
        <f>B67/'CSO data'!$B$80</f>
        <v>0.26829109573819426</v>
      </c>
      <c r="D67" s="248">
        <v>0.4</v>
      </c>
      <c r="E67" s="248">
        <v>0.6</v>
      </c>
      <c r="F67" s="239">
        <f t="shared" ref="F67" si="1">C67*D67</f>
        <v>0.10731643829527771</v>
      </c>
      <c r="G67" s="239">
        <f t="shared" ref="G67" si="2">C67*E67</f>
        <v>0.16097465744291656</v>
      </c>
    </row>
    <row r="68" spans="1:7" ht="15" customHeight="1">
      <c r="A68" s="9" t="s">
        <v>487</v>
      </c>
      <c r="B68" s="241">
        <f t="shared" si="0"/>
        <v>0</v>
      </c>
      <c r="C68" s="61">
        <f>B68/'CSO data'!$B$80</f>
        <v>0</v>
      </c>
      <c r="D68" s="248">
        <v>0</v>
      </c>
      <c r="E68" s="248">
        <v>1</v>
      </c>
      <c r="F68" s="239">
        <f t="shared" ref="F68:F78" si="3">C68*D68</f>
        <v>0</v>
      </c>
      <c r="G68" s="239">
        <f t="shared" ref="G68:G78" si="4">C68*E68</f>
        <v>0</v>
      </c>
    </row>
    <row r="69" spans="1:7" ht="15" customHeight="1">
      <c r="A69" s="9" t="s">
        <v>442</v>
      </c>
      <c r="B69" s="241">
        <f t="shared" si="0"/>
        <v>2.5775899999999998</v>
      </c>
      <c r="C69" s="61">
        <f>B69/'CSO data'!$B$80</f>
        <v>7.9120747028478905E-2</v>
      </c>
      <c r="D69" s="248">
        <v>0</v>
      </c>
      <c r="E69" s="248">
        <v>1</v>
      </c>
      <c r="F69" s="239">
        <f t="shared" si="3"/>
        <v>0</v>
      </c>
      <c r="G69" s="239">
        <f t="shared" si="4"/>
        <v>7.9120747028478905E-2</v>
      </c>
    </row>
    <row r="70" spans="1:7" ht="15" customHeight="1">
      <c r="A70" s="9" t="s">
        <v>449</v>
      </c>
      <c r="B70" s="241">
        <f t="shared" si="0"/>
        <v>8.4153979999999997</v>
      </c>
      <c r="C70" s="61">
        <f>B70/'CSO data'!$B$80</f>
        <v>0.25831593709704309</v>
      </c>
      <c r="D70" s="248">
        <v>0</v>
      </c>
      <c r="E70" s="248">
        <v>1</v>
      </c>
      <c r="F70" s="239">
        <f t="shared" si="3"/>
        <v>0</v>
      </c>
      <c r="G70" s="239">
        <f t="shared" si="4"/>
        <v>0.25831593709704309</v>
      </c>
    </row>
    <row r="71" spans="1:7" ht="15" customHeight="1">
      <c r="A71" s="9" t="s">
        <v>488</v>
      </c>
      <c r="B71" s="241">
        <f t="shared" si="0"/>
        <v>0</v>
      </c>
      <c r="C71" s="61">
        <f>B71/'CSO data'!$B$80</f>
        <v>0</v>
      </c>
      <c r="D71" s="248">
        <v>1</v>
      </c>
      <c r="E71" s="248">
        <v>0</v>
      </c>
      <c r="F71" s="239">
        <f t="shared" si="3"/>
        <v>0</v>
      </c>
      <c r="G71" s="239">
        <f t="shared" si="4"/>
        <v>0</v>
      </c>
    </row>
    <row r="72" spans="1:7" ht="15" customHeight="1">
      <c r="A72" s="9" t="s">
        <v>451</v>
      </c>
      <c r="B72" s="241">
        <f t="shared" si="0"/>
        <v>3.2535419999999999</v>
      </c>
      <c r="C72" s="61">
        <f>B72/'CSO data'!$B$80</f>
        <v>9.986951901913467E-2</v>
      </c>
      <c r="D72" s="248">
        <v>0</v>
      </c>
      <c r="E72" s="248">
        <v>1</v>
      </c>
      <c r="F72" s="239">
        <f t="shared" si="3"/>
        <v>0</v>
      </c>
      <c r="G72" s="239">
        <f t="shared" si="4"/>
        <v>9.986951901913467E-2</v>
      </c>
    </row>
    <row r="73" spans="1:7" ht="15" customHeight="1">
      <c r="A73" s="9" t="s">
        <v>452</v>
      </c>
      <c r="B73" s="241">
        <f t="shared" si="0"/>
        <v>0.50378699999999998</v>
      </c>
      <c r="C73" s="61">
        <f>B73/'CSO data'!$B$80</f>
        <v>1.5464058978827628E-2</v>
      </c>
      <c r="D73" s="248">
        <v>0.6</v>
      </c>
      <c r="E73" s="248">
        <v>0.4</v>
      </c>
      <c r="F73" s="239">
        <f t="shared" si="3"/>
        <v>9.2784353872965766E-3</v>
      </c>
      <c r="G73" s="239">
        <f t="shared" si="4"/>
        <v>6.185623591531051E-3</v>
      </c>
    </row>
    <row r="74" spans="1:7" ht="15" customHeight="1">
      <c r="A74" s="9" t="s">
        <v>489</v>
      </c>
      <c r="B74" s="241">
        <f t="shared" si="0"/>
        <v>0</v>
      </c>
      <c r="C74" s="61">
        <f>B74/'CSO data'!$B$80</f>
        <v>0</v>
      </c>
      <c r="D74" s="248">
        <v>1</v>
      </c>
      <c r="E74" s="248">
        <v>0</v>
      </c>
      <c r="F74" s="239">
        <f t="shared" si="3"/>
        <v>0</v>
      </c>
      <c r="G74" s="239">
        <f t="shared" si="4"/>
        <v>0</v>
      </c>
    </row>
    <row r="75" spans="1:7" ht="15" customHeight="1">
      <c r="A75" s="9" t="s">
        <v>454</v>
      </c>
      <c r="B75" s="241">
        <f t="shared" si="0"/>
        <v>0.61072700000000002</v>
      </c>
      <c r="C75" s="61">
        <f>B75/'CSO data'!$B$80</f>
        <v>1.8746649572066093E-2</v>
      </c>
      <c r="D75" s="248">
        <v>0.4</v>
      </c>
      <c r="E75" s="248">
        <v>0.6</v>
      </c>
      <c r="F75" s="239">
        <f t="shared" si="3"/>
        <v>7.4986598288264376E-3</v>
      </c>
      <c r="G75" s="239">
        <f t="shared" si="4"/>
        <v>1.1247989743239655E-2</v>
      </c>
    </row>
    <row r="76" spans="1:7" ht="15" customHeight="1">
      <c r="A76" s="9" t="s">
        <v>455</v>
      </c>
      <c r="B76" s="241">
        <f t="shared" si="0"/>
        <v>1.2191350000000001</v>
      </c>
      <c r="C76" s="61">
        <f>B76/'CSO data'!$B$80</f>
        <v>3.7422115979874472E-2</v>
      </c>
      <c r="D76" s="248">
        <v>0.6</v>
      </c>
      <c r="E76" s="248">
        <v>0.4</v>
      </c>
      <c r="F76" s="239">
        <f t="shared" si="3"/>
        <v>2.2453269587924683E-2</v>
      </c>
      <c r="G76" s="239">
        <f t="shared" si="4"/>
        <v>1.496884639194979E-2</v>
      </c>
    </row>
    <row r="77" spans="1:7" ht="15" customHeight="1">
      <c r="A77" s="9" t="s">
        <v>456</v>
      </c>
      <c r="B77" s="241">
        <f t="shared" si="0"/>
        <v>0.45833699999999999</v>
      </c>
      <c r="C77" s="61">
        <f>B77/'CSO data'!$B$80</f>
        <v>1.406894262888665E-2</v>
      </c>
      <c r="D77" s="248">
        <v>0</v>
      </c>
      <c r="E77" s="248">
        <v>1</v>
      </c>
      <c r="F77" s="239">
        <f t="shared" si="3"/>
        <v>0</v>
      </c>
      <c r="G77" s="239">
        <f t="shared" si="4"/>
        <v>1.406894262888665E-2</v>
      </c>
    </row>
    <row r="78" spans="1:7" ht="15" customHeight="1">
      <c r="A78" s="9" t="s">
        <v>65</v>
      </c>
      <c r="B78" s="241">
        <f t="shared" si="0"/>
        <v>0.67629600000000001</v>
      </c>
      <c r="C78" s="61">
        <f>B78/'CSO data'!$B$80</f>
        <v>2.0759331287121759E-2</v>
      </c>
      <c r="D78" s="248">
        <v>0</v>
      </c>
      <c r="E78" s="248">
        <v>1</v>
      </c>
      <c r="F78" s="239">
        <f t="shared" si="3"/>
        <v>0</v>
      </c>
      <c r="G78" s="239">
        <f t="shared" si="4"/>
        <v>2.0759331287121759E-2</v>
      </c>
    </row>
    <row r="79" spans="1:7" ht="15" customHeight="1">
      <c r="A79" s="246"/>
      <c r="B79" s="242"/>
      <c r="C79" s="242"/>
      <c r="D79" s="242"/>
      <c r="E79" s="242"/>
      <c r="F79" s="242"/>
      <c r="G79" s="242"/>
    </row>
    <row r="80" spans="1:7" ht="15" customHeight="1">
      <c r="A80" s="260" t="s">
        <v>145</v>
      </c>
      <c r="B80" s="243">
        <f>SUM(B66:B78)</f>
        <v>32.577928</v>
      </c>
      <c r="C80" s="247">
        <f>SUM(C66:C78)</f>
        <v>0.99999999999999978</v>
      </c>
      <c r="D80" s="244"/>
      <c r="E80" s="244"/>
      <c r="F80" s="245">
        <f>SUM(F66:F78)</f>
        <v>0.14654680309932541</v>
      </c>
      <c r="G80" s="245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172"/>
    <col min="2" max="2" width="38.85546875" style="172" bestFit="1" customWidth="1"/>
    <col min="3" max="3" width="9.42578125" style="172" bestFit="1" customWidth="1"/>
    <col min="4" max="4" width="12.85546875" style="172" bestFit="1" customWidth="1"/>
    <col min="5" max="5" width="13.28515625" style="172" bestFit="1" customWidth="1"/>
    <col min="6" max="6" width="9.140625" style="172"/>
    <col min="7" max="7" width="32.28515625" style="172" customWidth="1"/>
    <col min="8" max="8" width="10.28515625" style="172" bestFit="1" customWidth="1"/>
    <col min="9" max="9" width="10.7109375" style="172" bestFit="1" customWidth="1"/>
    <col min="10" max="16384" width="9.140625" style="172"/>
  </cols>
  <sheetData>
    <row r="1" spans="1:9">
      <c r="A1" s="172" t="s">
        <v>152</v>
      </c>
      <c r="B1" s="172" t="s">
        <v>434</v>
      </c>
    </row>
    <row r="2" spans="1:9" ht="15">
      <c r="A2" s="172" t="s">
        <v>435</v>
      </c>
      <c r="B2" s="173" t="s">
        <v>407</v>
      </c>
    </row>
    <row r="5" spans="1:9" ht="15">
      <c r="B5" s="15" t="s">
        <v>408</v>
      </c>
      <c r="G5" s="15" t="s">
        <v>408</v>
      </c>
    </row>
    <row r="6" spans="1:9" ht="15">
      <c r="B6" s="174"/>
      <c r="C6" s="174" t="s">
        <v>409</v>
      </c>
      <c r="D6" s="174" t="s">
        <v>410</v>
      </c>
      <c r="E6" s="175" t="s">
        <v>411</v>
      </c>
      <c r="G6" s="174" t="s">
        <v>412</v>
      </c>
      <c r="H6" s="174" t="s">
        <v>413</v>
      </c>
      <c r="I6" s="174" t="s">
        <v>414</v>
      </c>
    </row>
    <row r="7" spans="1:9">
      <c r="B7" s="174" t="s">
        <v>415</v>
      </c>
      <c r="C7" s="174">
        <v>225</v>
      </c>
      <c r="D7" s="174">
        <v>121</v>
      </c>
      <c r="E7" s="174">
        <v>43</v>
      </c>
      <c r="G7" s="174">
        <f>C7/$C$16</f>
        <v>4.5703839122486288E-2</v>
      </c>
      <c r="H7" s="174">
        <f>D7/$D$16</f>
        <v>3.873239436619718E-2</v>
      </c>
      <c r="I7" s="174">
        <f>E7/$E$16</f>
        <v>2.0149953139643861E-2</v>
      </c>
    </row>
    <row r="8" spans="1:9">
      <c r="B8" s="174" t="s">
        <v>416</v>
      </c>
      <c r="C8" s="174">
        <v>870</v>
      </c>
      <c r="D8" s="174">
        <v>864</v>
      </c>
      <c r="E8" s="176">
        <v>1475</v>
      </c>
      <c r="G8" s="174">
        <f t="shared" ref="G8:G14" si="0">C8/$C$16</f>
        <v>0.17672151127361366</v>
      </c>
      <c r="H8" s="174">
        <f t="shared" ref="H8:H14" si="1">D8/$D$16</f>
        <v>0.27656850192061461</v>
      </c>
      <c r="I8" s="174">
        <f t="shared" ref="I8:I14" si="2">E8/$E$16</f>
        <v>0.69119025304592319</v>
      </c>
    </row>
    <row r="9" spans="1:9" ht="15">
      <c r="B9" s="177" t="s">
        <v>417</v>
      </c>
      <c r="C9" s="174">
        <v>496</v>
      </c>
      <c r="D9" s="174">
        <v>339</v>
      </c>
      <c r="E9" s="174">
        <v>10</v>
      </c>
      <c r="G9" s="174">
        <f t="shared" si="0"/>
        <v>0.10075157424334755</v>
      </c>
      <c r="H9" s="174">
        <f t="shared" si="1"/>
        <v>0.10851472471190782</v>
      </c>
      <c r="I9" s="174">
        <f t="shared" si="2"/>
        <v>4.6860356138706651E-3</v>
      </c>
    </row>
    <row r="10" spans="1:9">
      <c r="B10" s="174" t="s">
        <v>63</v>
      </c>
      <c r="C10" s="174">
        <v>780</v>
      </c>
      <c r="D10" s="174">
        <v>885</v>
      </c>
      <c r="E10" s="174">
        <v>82</v>
      </c>
      <c r="G10" s="174">
        <f t="shared" si="0"/>
        <v>0.15843997562461914</v>
      </c>
      <c r="H10" s="174">
        <f t="shared" si="1"/>
        <v>0.28329065300896289</v>
      </c>
      <c r="I10" s="174">
        <f t="shared" si="2"/>
        <v>3.8425492033739454E-2</v>
      </c>
    </row>
    <row r="11" spans="1:9">
      <c r="B11" s="174" t="s">
        <v>418</v>
      </c>
      <c r="C11" s="174">
        <v>199</v>
      </c>
      <c r="D11" s="174">
        <v>157</v>
      </c>
      <c r="E11" s="174">
        <v>209</v>
      </c>
      <c r="G11" s="174">
        <f t="shared" si="0"/>
        <v>4.0422506601665652E-2</v>
      </c>
      <c r="H11" s="174">
        <f t="shared" si="1"/>
        <v>5.0256081946222789E-2</v>
      </c>
      <c r="I11" s="174">
        <f t="shared" si="2"/>
        <v>9.7938144329896906E-2</v>
      </c>
    </row>
    <row r="12" spans="1:9">
      <c r="B12" s="174" t="s">
        <v>419</v>
      </c>
      <c r="C12" s="176">
        <v>1768</v>
      </c>
      <c r="D12" s="174">
        <v>282</v>
      </c>
      <c r="E12" s="174">
        <v>248</v>
      </c>
      <c r="G12" s="174">
        <f t="shared" si="0"/>
        <v>0.35913061141580338</v>
      </c>
      <c r="H12" s="174">
        <f t="shared" si="1"/>
        <v>9.0268886043533933E-2</v>
      </c>
      <c r="I12" s="174">
        <f t="shared" si="2"/>
        <v>0.1162136832239925</v>
      </c>
    </row>
    <row r="13" spans="1:9">
      <c r="B13" s="174" t="s">
        <v>420</v>
      </c>
      <c r="C13" s="174">
        <v>238</v>
      </c>
      <c r="D13" s="174">
        <v>80</v>
      </c>
      <c r="E13" s="174">
        <v>65</v>
      </c>
      <c r="G13" s="174">
        <f t="shared" si="0"/>
        <v>4.8344505382896606E-2</v>
      </c>
      <c r="H13" s="174">
        <f t="shared" si="1"/>
        <v>2.5608194622279128E-2</v>
      </c>
      <c r="I13" s="174">
        <f t="shared" si="2"/>
        <v>3.0459231490159326E-2</v>
      </c>
    </row>
    <row r="14" spans="1:9" ht="15">
      <c r="B14" s="177" t="s">
        <v>421</v>
      </c>
      <c r="C14" s="174">
        <v>347</v>
      </c>
      <c r="D14" s="174">
        <v>396</v>
      </c>
      <c r="E14" s="174">
        <v>2</v>
      </c>
      <c r="G14" s="174">
        <f t="shared" si="0"/>
        <v>7.0485476335567745E-2</v>
      </c>
      <c r="H14" s="174">
        <f t="shared" si="1"/>
        <v>0.12676056338028169</v>
      </c>
      <c r="I14" s="174">
        <f t="shared" si="2"/>
        <v>9.372071227741331E-4</v>
      </c>
    </row>
    <row r="15" spans="1:9">
      <c r="B15" s="174"/>
      <c r="C15" s="174"/>
      <c r="D15" s="174"/>
      <c r="E15" s="174"/>
    </row>
    <row r="16" spans="1:9">
      <c r="B16" s="174"/>
      <c r="C16" s="174">
        <f>SUM(C7:C14)</f>
        <v>4923</v>
      </c>
      <c r="D16" s="174">
        <f>SUM(D7:D14)</f>
        <v>3124</v>
      </c>
      <c r="E16" s="174">
        <f>SUM(E7:E14)</f>
        <v>2134</v>
      </c>
    </row>
    <row r="17" spans="2:9">
      <c r="B17" s="174"/>
      <c r="C17" s="174">
        <f>C16/SUM(C16:E16)</f>
        <v>0.48354778508987328</v>
      </c>
      <c r="D17" s="174">
        <f>D16/SUM(C16:E16)</f>
        <v>0.30684608584618406</v>
      </c>
      <c r="E17" s="174">
        <f>E16/SUM(C16:E16)</f>
        <v>0.20960612906394263</v>
      </c>
    </row>
    <row r="18" spans="2:9">
      <c r="C18" s="178">
        <f>C16*3.6/1000</f>
        <v>17.722799999999999</v>
      </c>
      <c r="D18" s="178">
        <f>D16*3.6/1000</f>
        <v>11.2464</v>
      </c>
      <c r="E18" s="178">
        <f>E16*3.6/1000</f>
        <v>7.6824000000000003</v>
      </c>
      <c r="F18" s="172" t="s">
        <v>46</v>
      </c>
      <c r="G18" s="179"/>
    </row>
    <row r="19" spans="2:9">
      <c r="C19" s="179">
        <f>C18/0.041868</f>
        <v>423.30180567497848</v>
      </c>
      <c r="D19" s="179">
        <f>D18/0.041868</f>
        <v>268.61564918314701</v>
      </c>
      <c r="E19" s="179">
        <f>E18/0.041868</f>
        <v>183.49097162510748</v>
      </c>
      <c r="F19" s="172" t="s">
        <v>54</v>
      </c>
    </row>
    <row r="20" spans="2:9">
      <c r="E20" s="179">
        <f>SUM(C19:E19)</f>
        <v>875.40842648323292</v>
      </c>
    </row>
    <row r="23" spans="2:9" ht="15">
      <c r="B23" s="180" t="s">
        <v>422</v>
      </c>
      <c r="C23" s="174" t="s">
        <v>423</v>
      </c>
      <c r="D23" s="174" t="s">
        <v>132</v>
      </c>
      <c r="G23" s="180" t="s">
        <v>424</v>
      </c>
      <c r="H23" s="174" t="s">
        <v>423</v>
      </c>
      <c r="I23" s="174" t="s">
        <v>132</v>
      </c>
    </row>
    <row r="24" spans="2:9" ht="15">
      <c r="B24" s="174" t="s">
        <v>425</v>
      </c>
      <c r="C24" s="174">
        <v>609</v>
      </c>
      <c r="D24" s="174">
        <f>C24/$C$34</f>
        <v>0.12370505789152955</v>
      </c>
      <c r="G24" s="174" t="s">
        <v>426</v>
      </c>
      <c r="H24" s="174">
        <v>539</v>
      </c>
      <c r="I24" s="177">
        <f t="shared" ref="I24:I32" si="3">H24/$H$34</f>
        <v>0.30677290836653387</v>
      </c>
    </row>
    <row r="25" spans="2:9" ht="15">
      <c r="B25" s="174" t="s">
        <v>427</v>
      </c>
      <c r="C25" s="174">
        <v>775</v>
      </c>
      <c r="D25" s="174">
        <f t="shared" ref="D25:D33" si="4">C25/$C$34</f>
        <v>0.15742433475523054</v>
      </c>
      <c r="G25" s="174" t="s">
        <v>427</v>
      </c>
      <c r="H25" s="174">
        <v>461</v>
      </c>
      <c r="I25" s="177">
        <f t="shared" si="3"/>
        <v>0.26237905520774046</v>
      </c>
    </row>
    <row r="26" spans="2:9" ht="15">
      <c r="B26" s="174" t="s">
        <v>426</v>
      </c>
      <c r="C26" s="174">
        <v>773</v>
      </c>
      <c r="D26" s="174">
        <f t="shared" si="4"/>
        <v>0.15701807840747511</v>
      </c>
      <c r="G26" s="174" t="s">
        <v>428</v>
      </c>
      <c r="H26" s="174">
        <v>309</v>
      </c>
      <c r="I26" s="177">
        <f t="shared" si="3"/>
        <v>0.17586795674445077</v>
      </c>
    </row>
    <row r="27" spans="2:9" ht="15">
      <c r="B27" s="174" t="s">
        <v>428</v>
      </c>
      <c r="C27" s="174">
        <v>454</v>
      </c>
      <c r="D27" s="174">
        <f t="shared" si="4"/>
        <v>9.2220190940483449E-2</v>
      </c>
      <c r="G27" s="174" t="s">
        <v>425</v>
      </c>
      <c r="H27" s="174">
        <v>216</v>
      </c>
      <c r="I27" s="177">
        <f t="shared" si="3"/>
        <v>0.12293682413204325</v>
      </c>
    </row>
    <row r="28" spans="2:9" ht="15">
      <c r="B28" s="174" t="s">
        <v>429</v>
      </c>
      <c r="C28" s="174">
        <v>883</v>
      </c>
      <c r="D28" s="174">
        <f t="shared" si="4"/>
        <v>0.17936217753402398</v>
      </c>
      <c r="G28" s="174" t="s">
        <v>430</v>
      </c>
      <c r="H28" s="174">
        <v>128</v>
      </c>
      <c r="I28" s="177">
        <f t="shared" si="3"/>
        <v>7.2851451337507117E-2</v>
      </c>
    </row>
    <row r="29" spans="2:9" ht="15">
      <c r="B29" s="174" t="s">
        <v>45</v>
      </c>
      <c r="C29" s="183">
        <v>402</v>
      </c>
      <c r="D29" s="174">
        <f t="shared" si="4"/>
        <v>8.1657525898842176E-2</v>
      </c>
      <c r="G29" s="177" t="s">
        <v>431</v>
      </c>
      <c r="H29" s="174">
        <v>50</v>
      </c>
      <c r="I29" s="177">
        <f t="shared" si="3"/>
        <v>2.8457598178713718E-2</v>
      </c>
    </row>
    <row r="30" spans="2:9" ht="15">
      <c r="B30" s="174" t="s">
        <v>431</v>
      </c>
      <c r="C30" s="174">
        <v>356</v>
      </c>
      <c r="D30" s="174">
        <f t="shared" si="4"/>
        <v>7.2313629900467191E-2</v>
      </c>
      <c r="G30" s="174" t="s">
        <v>65</v>
      </c>
      <c r="H30" s="174">
        <v>41</v>
      </c>
      <c r="I30" s="177">
        <f t="shared" si="3"/>
        <v>2.3335230506545249E-2</v>
      </c>
    </row>
    <row r="31" spans="2:9" ht="15">
      <c r="B31" s="174" t="s">
        <v>274</v>
      </c>
      <c r="C31" s="174">
        <v>178</v>
      </c>
      <c r="D31" s="174">
        <f t="shared" si="4"/>
        <v>3.6156814950233596E-2</v>
      </c>
      <c r="G31" s="174" t="s">
        <v>429</v>
      </c>
      <c r="H31" s="174">
        <v>10</v>
      </c>
      <c r="I31" s="177">
        <f t="shared" si="3"/>
        <v>5.6915196357427431E-3</v>
      </c>
    </row>
    <row r="32" spans="2:9" ht="15">
      <c r="B32" s="174" t="s">
        <v>65</v>
      </c>
      <c r="C32" s="174">
        <v>147</v>
      </c>
      <c r="D32" s="174">
        <f t="shared" si="4"/>
        <v>2.9859841560024376E-2</v>
      </c>
      <c r="G32" s="177" t="s">
        <v>432</v>
      </c>
      <c r="H32" s="174">
        <v>3</v>
      </c>
      <c r="I32" s="177">
        <f t="shared" si="3"/>
        <v>1.7074558907228231E-3</v>
      </c>
    </row>
    <row r="33" spans="2:9">
      <c r="B33" s="174" t="s">
        <v>430</v>
      </c>
      <c r="C33" s="174">
        <v>346</v>
      </c>
      <c r="D33" s="174">
        <f t="shared" si="4"/>
        <v>7.0282348161690031E-2</v>
      </c>
      <c r="G33" s="174"/>
      <c r="H33" s="174"/>
      <c r="I33" s="174"/>
    </row>
    <row r="34" spans="2:9">
      <c r="B34" s="174" t="s">
        <v>145</v>
      </c>
      <c r="C34" s="176">
        <f>SUM(C24:C33)</f>
        <v>4923</v>
      </c>
      <c r="D34" s="174"/>
      <c r="G34" s="174"/>
      <c r="H34" s="174">
        <f>SUM(H24:H32)</f>
        <v>1757</v>
      </c>
      <c r="I34" s="174"/>
    </row>
    <row r="36" spans="2:9" ht="15">
      <c r="B36" s="172" t="s">
        <v>433</v>
      </c>
      <c r="C36" s="172">
        <f>SUM(C24:C27)</f>
        <v>2611</v>
      </c>
      <c r="D36" s="181">
        <f>C36/SUM($C$36:$C$38)</f>
        <v>0.55026343519494203</v>
      </c>
    </row>
    <row r="37" spans="2:9" ht="15">
      <c r="B37" s="172" t="s">
        <v>65</v>
      </c>
      <c r="C37" s="172">
        <f>C28+C30+C329+C33+C32</f>
        <v>1732</v>
      </c>
      <c r="D37" s="181">
        <f>C37/SUM($C$36:$C$38)</f>
        <v>0.36501580611169654</v>
      </c>
    </row>
    <row r="38" spans="2:9" ht="15">
      <c r="B38" s="172" t="s">
        <v>45</v>
      </c>
      <c r="C38" s="172">
        <f>C29</f>
        <v>402</v>
      </c>
      <c r="D38" s="181">
        <f>C38/SUM($C$36:$C$38)</f>
        <v>8.4720758693361431E-2</v>
      </c>
    </row>
    <row r="40" spans="2:9">
      <c r="C40" s="182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2022-11-07T15:38:57Z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269909083843231</vt:r8>
  </property>
</Properties>
</file>