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4FD5CF4-1A76-4E54-9A39-C96C79316905}" xr6:coauthVersionLast="47" xr6:coauthVersionMax="47" xr10:uidLastSave="{00000000-0000-0000-0000-000000000000}"/>
  <bookViews>
    <workbookView xWindow="-110" yWindow="-110" windowWidth="25820" windowHeight="15500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New vehicle sales" sheetId="16" r:id="rId13"/>
    <sheet name="CO2-NET-multi" sheetId="26" r:id="rId14"/>
    <sheet name="CO2-NET-single" sheetId="25" r:id="rId15"/>
    <sheet name="EB2018" sheetId="3" r:id="rId16"/>
    <sheet name="EB2019" sheetId="11" r:id="rId17"/>
    <sheet name="EB2020" sheetId="12" r:id="rId18"/>
    <sheet name="EB2021" sheetId="22" r:id="rId19"/>
    <sheet name="EB2022" sheetId="32" r:id="rId20"/>
    <sheet name="Conversions" sheetId="9" r:id="rId21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" i="14" l="1"/>
  <c r="T7" i="14"/>
  <c r="T23" i="14"/>
  <c r="T16" i="23"/>
  <c r="T18" i="23"/>
  <c r="T23" i="23"/>
  <c r="C12" i="24"/>
  <c r="E12" i="24"/>
  <c r="G9" i="24"/>
  <c r="G10" i="24"/>
  <c r="G11" i="24"/>
  <c r="G8" i="24"/>
  <c r="J5" i="29"/>
  <c r="I5" i="29"/>
  <c r="H5" i="29"/>
  <c r="G5" i="29"/>
  <c r="F5" i="29"/>
  <c r="E5" i="29"/>
  <c r="U56" i="30"/>
  <c r="V56" i="30"/>
  <c r="W56" i="30"/>
  <c r="X56" i="30"/>
  <c r="Y56" i="30"/>
  <c r="U57" i="30"/>
  <c r="V57" i="30"/>
  <c r="W57" i="30"/>
  <c r="X57" i="30"/>
  <c r="Y57" i="30"/>
  <c r="U58" i="30"/>
  <c r="V58" i="30"/>
  <c r="W58" i="30"/>
  <c r="X58" i="30"/>
  <c r="Y58" i="30"/>
  <c r="U59" i="30"/>
  <c r="V59" i="30"/>
  <c r="W59" i="30"/>
  <c r="X59" i="30"/>
  <c r="Y59" i="30"/>
  <c r="U60" i="30"/>
  <c r="V60" i="30"/>
  <c r="W60" i="30"/>
  <c r="X60" i="30"/>
  <c r="Y60" i="30"/>
  <c r="V55" i="30"/>
  <c r="W55" i="30"/>
  <c r="X55" i="30"/>
  <c r="Y55" i="30"/>
  <c r="U55" i="30"/>
  <c r="U50" i="30"/>
  <c r="V50" i="30"/>
  <c r="W50" i="30"/>
  <c r="X50" i="30"/>
  <c r="Y50" i="30"/>
  <c r="U51" i="30"/>
  <c r="V51" i="30"/>
  <c r="W51" i="30"/>
  <c r="X51" i="30"/>
  <c r="Y51" i="30"/>
  <c r="U52" i="30"/>
  <c r="V52" i="30"/>
  <c r="W52" i="30"/>
  <c r="X52" i="30"/>
  <c r="Y52" i="30"/>
  <c r="U53" i="30"/>
  <c r="V53" i="30"/>
  <c r="W53" i="30"/>
  <c r="X53" i="30"/>
  <c r="Y53" i="30"/>
  <c r="U54" i="30"/>
  <c r="V54" i="30"/>
  <c r="W54" i="30"/>
  <c r="X54" i="30"/>
  <c r="Y54" i="30"/>
  <c r="V49" i="30"/>
  <c r="W49" i="30"/>
  <c r="X49" i="30"/>
  <c r="Y49" i="30"/>
  <c r="U49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U17" i="14"/>
  <c r="U18" i="14"/>
  <c r="U19" i="14"/>
  <c r="U20" i="14"/>
  <c r="U21" i="14"/>
  <c r="X21" i="14"/>
  <c r="U22" i="14"/>
  <c r="U23" i="14"/>
  <c r="U24" i="14"/>
  <c r="U25" i="14"/>
  <c r="U26" i="14"/>
  <c r="U27" i="14"/>
  <c r="X27" i="14"/>
  <c r="U16" i="14"/>
  <c r="U4" i="14"/>
  <c r="U5" i="14"/>
  <c r="U6" i="14"/>
  <c r="U7" i="14"/>
  <c r="U8" i="14"/>
  <c r="U9" i="14"/>
  <c r="X9" i="14"/>
  <c r="U10" i="14"/>
  <c r="U11" i="14"/>
  <c r="U12" i="14"/>
  <c r="U13" i="14"/>
  <c r="U14" i="14"/>
  <c r="U15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U16" i="23"/>
  <c r="U17" i="23"/>
  <c r="U18" i="23"/>
  <c r="U19" i="23"/>
  <c r="U20" i="23"/>
  <c r="U21" i="23"/>
  <c r="X21" i="23"/>
  <c r="U22" i="23"/>
  <c r="U23" i="23"/>
  <c r="U24" i="23"/>
  <c r="U25" i="23"/>
  <c r="U15" i="23"/>
  <c r="X15" i="23"/>
  <c r="U5" i="23"/>
  <c r="U6" i="23"/>
  <c r="U7" i="23"/>
  <c r="U8" i="23"/>
  <c r="U9" i="23"/>
  <c r="U10" i="23"/>
  <c r="X10" i="23"/>
  <c r="U11" i="23"/>
  <c r="U12" i="23"/>
  <c r="U13" i="23"/>
  <c r="U4" i="23"/>
  <c r="X4" i="23"/>
  <c r="S25" i="23"/>
  <c r="S24" i="23"/>
  <c r="S23" i="23"/>
  <c r="S22" i="23"/>
  <c r="S21" i="23"/>
  <c r="S20" i="23"/>
  <c r="S19" i="23"/>
  <c r="S18" i="23"/>
  <c r="S17" i="23"/>
  <c r="S16" i="23"/>
  <c r="S15" i="23"/>
  <c r="S14" i="23"/>
  <c r="S13" i="23"/>
  <c r="S12" i="23"/>
  <c r="S11" i="23"/>
  <c r="S10" i="23"/>
  <c r="S9" i="23"/>
  <c r="S8" i="23"/>
  <c r="S7" i="23"/>
  <c r="S6" i="23"/>
  <c r="S5" i="23"/>
  <c r="S4" i="23"/>
  <c r="U16" i="8"/>
  <c r="U17" i="8"/>
  <c r="U18" i="8"/>
  <c r="X18" i="8"/>
  <c r="U19" i="8"/>
  <c r="X19" i="8"/>
  <c r="U20" i="8"/>
  <c r="U21" i="8"/>
  <c r="U22" i="8"/>
  <c r="U23" i="8"/>
  <c r="U24" i="8"/>
  <c r="X24" i="8"/>
  <c r="U25" i="8"/>
  <c r="U15" i="8"/>
  <c r="U5" i="8"/>
  <c r="U6" i="8"/>
  <c r="U7" i="8"/>
  <c r="X7" i="8"/>
  <c r="U8" i="8"/>
  <c r="U9" i="8"/>
  <c r="U10" i="8"/>
  <c r="U11" i="8"/>
  <c r="U12" i="8"/>
  <c r="U13" i="8"/>
  <c r="X13" i="8"/>
  <c r="U14" i="8"/>
  <c r="U4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J11" i="14"/>
  <c r="X11" i="14" s="1"/>
  <c r="I11" i="14"/>
  <c r="W11" i="14" s="1"/>
  <c r="G34" i="16"/>
  <c r="H107" i="15" s="1"/>
  <c r="H82" i="15"/>
  <c r="H58" i="15"/>
  <c r="H38" i="15"/>
  <c r="H17" i="15"/>
  <c r="AA82" i="15"/>
  <c r="Q17" i="15"/>
  <c r="K38" i="15"/>
  <c r="H105" i="15"/>
  <c r="H106" i="15"/>
  <c r="R106" i="15" s="1"/>
  <c r="H104" i="15"/>
  <c r="H80" i="15"/>
  <c r="H81" i="15"/>
  <c r="H79" i="15"/>
  <c r="H56" i="15"/>
  <c r="H57" i="15"/>
  <c r="H55" i="15"/>
  <c r="H36" i="15"/>
  <c r="H37" i="15"/>
  <c r="H35" i="15"/>
  <c r="K35" i="15" s="1"/>
  <c r="H15" i="15"/>
  <c r="H16" i="15"/>
  <c r="H14" i="15"/>
  <c r="G20" i="16"/>
  <c r="F20" i="16"/>
  <c r="E20" i="16"/>
  <c r="D20" i="16"/>
  <c r="C20" i="16"/>
  <c r="D34" i="16"/>
  <c r="C34" i="16"/>
  <c r="F34" i="16"/>
  <c r="E34" i="16"/>
  <c r="F19" i="16"/>
  <c r="G19" i="16" s="1"/>
  <c r="G21" i="16"/>
  <c r="F21" i="16"/>
  <c r="E21" i="16"/>
  <c r="E19" i="16"/>
  <c r="AI96" i="15"/>
  <c r="A96" i="15"/>
  <c r="AC105" i="15"/>
  <c r="AH104" i="15"/>
  <c r="AG106" i="15"/>
  <c r="AJ96" i="15"/>
  <c r="J96" i="15"/>
  <c r="K96" i="15" s="1"/>
  <c r="L96" i="15" s="1"/>
  <c r="M96" i="15" s="1"/>
  <c r="N96" i="15" s="1"/>
  <c r="O96" i="15" s="1"/>
  <c r="P96" i="15" s="1"/>
  <c r="Q96" i="15" s="1"/>
  <c r="R96" i="15" s="1"/>
  <c r="S96" i="15" s="1"/>
  <c r="T96" i="15" s="1"/>
  <c r="U96" i="15" s="1"/>
  <c r="V96" i="15" s="1"/>
  <c r="W96" i="15" s="1"/>
  <c r="X96" i="15" s="1"/>
  <c r="Y96" i="15" s="1"/>
  <c r="Z96" i="15" s="1"/>
  <c r="AA96" i="15" s="1"/>
  <c r="AB96" i="15" s="1"/>
  <c r="AC96" i="15" s="1"/>
  <c r="AD96" i="15" s="1"/>
  <c r="AE96" i="15" s="1"/>
  <c r="AF96" i="15" s="1"/>
  <c r="AG96" i="15" s="1"/>
  <c r="AH96" i="15" s="1"/>
  <c r="I96" i="15"/>
  <c r="F96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H78" i="15"/>
  <c r="O78" i="15" s="1"/>
  <c r="H77" i="15"/>
  <c r="S77" i="15" s="1"/>
  <c r="H76" i="15"/>
  <c r="P76" i="15" s="1"/>
  <c r="H75" i="15"/>
  <c r="S75" i="15" s="1"/>
  <c r="H74" i="15"/>
  <c r="P74" i="15" s="1"/>
  <c r="H73" i="15"/>
  <c r="O73" i="15" s="1"/>
  <c r="H72" i="15"/>
  <c r="AH72" i="15" s="1"/>
  <c r="H54" i="15"/>
  <c r="H53" i="15"/>
  <c r="H52" i="15"/>
  <c r="H51" i="15"/>
  <c r="H50" i="15"/>
  <c r="H49" i="15"/>
  <c r="H48" i="15"/>
  <c r="I48" i="15" s="1"/>
  <c r="H34" i="15"/>
  <c r="P34" i="15" s="1"/>
  <c r="H33" i="15"/>
  <c r="H32" i="15"/>
  <c r="Y32" i="15" s="1"/>
  <c r="H31" i="15"/>
  <c r="O31" i="15" s="1"/>
  <c r="H30" i="15"/>
  <c r="K30" i="15" s="1"/>
  <c r="H29" i="15"/>
  <c r="P29" i="15" s="1"/>
  <c r="H28" i="15"/>
  <c r="S28" i="15" s="1"/>
  <c r="H8" i="15"/>
  <c r="Y8" i="15" s="1"/>
  <c r="H9" i="15"/>
  <c r="AF9" i="15" s="1"/>
  <c r="H10" i="15"/>
  <c r="M10" i="15" s="1"/>
  <c r="H11" i="15"/>
  <c r="Q11" i="15" s="1"/>
  <c r="H12" i="15"/>
  <c r="H13" i="15"/>
  <c r="J13" i="15" s="1"/>
  <c r="H7" i="15"/>
  <c r="O7" i="15" s="1"/>
  <c r="G212" i="16"/>
  <c r="H97" i="15" s="1"/>
  <c r="AC97" i="15" s="1"/>
  <c r="E213" i="16"/>
  <c r="E212" i="16"/>
  <c r="E214" i="16"/>
  <c r="H101" i="15" s="1"/>
  <c r="E215" i="16"/>
  <c r="E211" i="16"/>
  <c r="H102" i="15" s="1"/>
  <c r="M102" i="15" s="1"/>
  <c r="J71" i="15"/>
  <c r="K71" i="15"/>
  <c r="L71" i="15" s="1"/>
  <c r="M71" i="15" s="1"/>
  <c r="N71" i="15" s="1"/>
  <c r="O71" i="15" s="1"/>
  <c r="P71" i="15" s="1"/>
  <c r="Q71" i="15" s="1"/>
  <c r="R71" i="15" s="1"/>
  <c r="S71" i="15" s="1"/>
  <c r="T71" i="15" s="1"/>
  <c r="U71" i="15" s="1"/>
  <c r="V71" i="15" s="1"/>
  <c r="W71" i="15" s="1"/>
  <c r="X71" i="15" s="1"/>
  <c r="Y71" i="15" s="1"/>
  <c r="Z71" i="15" s="1"/>
  <c r="AA71" i="15" s="1"/>
  <c r="AB71" i="15" s="1"/>
  <c r="AC71" i="15" s="1"/>
  <c r="AD71" i="15" s="1"/>
  <c r="AE71" i="15" s="1"/>
  <c r="AF71" i="15" s="1"/>
  <c r="AG71" i="15" s="1"/>
  <c r="AH71" i="15" s="1"/>
  <c r="I71" i="15"/>
  <c r="J47" i="15"/>
  <c r="K47" i="15" s="1"/>
  <c r="L47" i="15" s="1"/>
  <c r="M47" i="15" s="1"/>
  <c r="N47" i="15" s="1"/>
  <c r="O47" i="15" s="1"/>
  <c r="P47" i="15" s="1"/>
  <c r="Q47" i="15" s="1"/>
  <c r="R47" i="15" s="1"/>
  <c r="S47" i="15" s="1"/>
  <c r="T47" i="15" s="1"/>
  <c r="U47" i="15" s="1"/>
  <c r="V47" i="15" s="1"/>
  <c r="W47" i="15" s="1"/>
  <c r="X47" i="15" s="1"/>
  <c r="Y47" i="15" s="1"/>
  <c r="Z47" i="15" s="1"/>
  <c r="AA47" i="15" s="1"/>
  <c r="AB47" i="15" s="1"/>
  <c r="AC47" i="15" s="1"/>
  <c r="AD47" i="15" s="1"/>
  <c r="AE47" i="15" s="1"/>
  <c r="AF47" i="15" s="1"/>
  <c r="AG47" i="15" s="1"/>
  <c r="AH47" i="15" s="1"/>
  <c r="I47" i="15"/>
  <c r="J27" i="15"/>
  <c r="K27" i="15"/>
  <c r="L27" i="15"/>
  <c r="M27" i="15" s="1"/>
  <c r="N27" i="15" s="1"/>
  <c r="O27" i="15" s="1"/>
  <c r="P27" i="15" s="1"/>
  <c r="Q27" i="15" s="1"/>
  <c r="R27" i="15" s="1"/>
  <c r="S27" i="15" s="1"/>
  <c r="T27" i="15" s="1"/>
  <c r="U27" i="15" s="1"/>
  <c r="V27" i="15" s="1"/>
  <c r="W27" i="15" s="1"/>
  <c r="X27" i="15" s="1"/>
  <c r="Y27" i="15" s="1"/>
  <c r="Z27" i="15" s="1"/>
  <c r="AA27" i="15" s="1"/>
  <c r="AB27" i="15" s="1"/>
  <c r="AC27" i="15" s="1"/>
  <c r="AD27" i="15" s="1"/>
  <c r="AE27" i="15" s="1"/>
  <c r="AF27" i="15" s="1"/>
  <c r="AG27" i="15" s="1"/>
  <c r="AH27" i="15" s="1"/>
  <c r="I27" i="15"/>
  <c r="L35" i="15"/>
  <c r="N35" i="15"/>
  <c r="O35" i="15"/>
  <c r="P35" i="15"/>
  <c r="Q35" i="15"/>
  <c r="R35" i="15"/>
  <c r="T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71" i="15"/>
  <c r="AD80" i="15"/>
  <c r="Q79" i="15"/>
  <c r="AJ71" i="15"/>
  <c r="A71" i="15"/>
  <c r="F71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A47" i="15"/>
  <c r="A27" i="15"/>
  <c r="Q12" i="15"/>
  <c r="I51" i="30"/>
  <c r="F50" i="30"/>
  <c r="G50" i="30"/>
  <c r="H53" i="30"/>
  <c r="H51" i="30"/>
  <c r="G51" i="30"/>
  <c r="J4" i="14"/>
  <c r="X16" i="14" s="1"/>
  <c r="F49" i="30"/>
  <c r="I41" i="30"/>
  <c r="I29" i="30"/>
  <c r="I23" i="30"/>
  <c r="J54" i="30"/>
  <c r="J53" i="30"/>
  <c r="J52" i="30"/>
  <c r="J51" i="30"/>
  <c r="J50" i="30"/>
  <c r="I17" i="30" s="1"/>
  <c r="J49" i="30"/>
  <c r="I11" i="30" s="1"/>
  <c r="J4" i="31"/>
  <c r="J4" i="29"/>
  <c r="J14" i="8"/>
  <c r="X25" i="8" s="1"/>
  <c r="J27" i="28"/>
  <c r="J11" i="28"/>
  <c r="J17" i="28"/>
  <c r="J13" i="8"/>
  <c r="J12" i="8"/>
  <c r="X23" i="8" s="1"/>
  <c r="J11" i="8"/>
  <c r="X22" i="8" s="1"/>
  <c r="J10" i="8"/>
  <c r="X21" i="8" s="1"/>
  <c r="J9" i="8"/>
  <c r="X20" i="8" s="1"/>
  <c r="J8" i="8"/>
  <c r="X8" i="8" s="1"/>
  <c r="J7" i="8"/>
  <c r="J6" i="8"/>
  <c r="X17" i="8" s="1"/>
  <c r="J5" i="8"/>
  <c r="X16" i="8" s="1"/>
  <c r="J4" i="8"/>
  <c r="X15" i="8" s="1"/>
  <c r="J15" i="14"/>
  <c r="X15" i="14" s="1"/>
  <c r="J14" i="14"/>
  <c r="X26" i="14" s="1"/>
  <c r="J13" i="14"/>
  <c r="X13" i="14" s="1"/>
  <c r="J12" i="14"/>
  <c r="X12" i="14" s="1"/>
  <c r="J10" i="14"/>
  <c r="X10" i="14" s="1"/>
  <c r="J9" i="14"/>
  <c r="J8" i="14"/>
  <c r="X20" i="14" s="1"/>
  <c r="J7" i="14"/>
  <c r="X19" i="14" s="1"/>
  <c r="J6" i="14"/>
  <c r="X18" i="14" s="1"/>
  <c r="J5" i="14"/>
  <c r="X17" i="14" s="1"/>
  <c r="J14" i="23"/>
  <c r="X25" i="23" s="1"/>
  <c r="J13" i="23"/>
  <c r="X13" i="23" s="1"/>
  <c r="J12" i="23"/>
  <c r="X23" i="23" s="1"/>
  <c r="J11" i="23"/>
  <c r="X22" i="23" s="1"/>
  <c r="J10" i="23"/>
  <c r="J9" i="23"/>
  <c r="X20" i="23" s="1"/>
  <c r="J8" i="23"/>
  <c r="X19" i="23" s="1"/>
  <c r="J7" i="23"/>
  <c r="X18" i="23" s="1"/>
  <c r="J6" i="23"/>
  <c r="X17" i="23" s="1"/>
  <c r="J5" i="23"/>
  <c r="X16" i="23" s="1"/>
  <c r="J4" i="23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I7" i="30" l="1"/>
  <c r="X9" i="23"/>
  <c r="X8" i="14"/>
  <c r="X12" i="8"/>
  <c r="X6" i="8"/>
  <c r="X7" i="14"/>
  <c r="X25" i="14"/>
  <c r="I35" i="30"/>
  <c r="X11" i="8"/>
  <c r="X8" i="23"/>
  <c r="X6" i="14"/>
  <c r="X5" i="8"/>
  <c r="X24" i="14"/>
  <c r="X10" i="8"/>
  <c r="X7" i="23"/>
  <c r="X5" i="14"/>
  <c r="X12" i="23"/>
  <c r="X4" i="8"/>
  <c r="X4" i="14"/>
  <c r="X23" i="14"/>
  <c r="X9" i="8"/>
  <c r="X6" i="23"/>
  <c r="X14" i="8"/>
  <c r="X11" i="23"/>
  <c r="X22" i="14"/>
  <c r="X5" i="23"/>
  <c r="X14" i="14"/>
  <c r="X24" i="23"/>
  <c r="W23" i="14"/>
  <c r="V107" i="15"/>
  <c r="AB107" i="15"/>
  <c r="U107" i="15"/>
  <c r="AH38" i="15"/>
  <c r="AA38" i="15"/>
  <c r="L38" i="15"/>
  <c r="Z38" i="15"/>
  <c r="S38" i="15"/>
  <c r="R38" i="15"/>
  <c r="I106" i="15"/>
  <c r="Z106" i="15"/>
  <c r="K106" i="15"/>
  <c r="AG38" i="15"/>
  <c r="Y38" i="15"/>
  <c r="Q38" i="15"/>
  <c r="AF38" i="15"/>
  <c r="X38" i="15"/>
  <c r="P38" i="15"/>
  <c r="AE38" i="15"/>
  <c r="W38" i="15"/>
  <c r="O38" i="15"/>
  <c r="AD38" i="15"/>
  <c r="V38" i="15"/>
  <c r="N38" i="15"/>
  <c r="AC38" i="15"/>
  <c r="U38" i="15"/>
  <c r="M38" i="15"/>
  <c r="AB38" i="15"/>
  <c r="T38" i="15"/>
  <c r="U35" i="15"/>
  <c r="M35" i="15"/>
  <c r="S35" i="15"/>
  <c r="AA107" i="15"/>
  <c r="AC107" i="15"/>
  <c r="L107" i="15"/>
  <c r="AD107" i="15"/>
  <c r="M107" i="15"/>
  <c r="N107" i="15"/>
  <c r="T107" i="15"/>
  <c r="S106" i="15"/>
  <c r="R101" i="15"/>
  <c r="AB101" i="15"/>
  <c r="H103" i="15"/>
  <c r="AE103" i="15" s="1"/>
  <c r="Q106" i="15"/>
  <c r="Y106" i="15"/>
  <c r="H99" i="15"/>
  <c r="R99" i="15" s="1"/>
  <c r="H98" i="15"/>
  <c r="S98" i="15" s="1"/>
  <c r="AA106" i="15"/>
  <c r="H100" i="15"/>
  <c r="AG100" i="15" s="1"/>
  <c r="J106" i="15"/>
  <c r="AH106" i="15"/>
  <c r="AG101" i="15"/>
  <c r="J101" i="15"/>
  <c r="L101" i="15"/>
  <c r="T101" i="15"/>
  <c r="Z101" i="15"/>
  <c r="AG104" i="15"/>
  <c r="K104" i="15"/>
  <c r="U104" i="15"/>
  <c r="S104" i="15"/>
  <c r="AA104" i="15"/>
  <c r="L104" i="15"/>
  <c r="T104" i="15"/>
  <c r="J104" i="15"/>
  <c r="Z104" i="15"/>
  <c r="M104" i="15"/>
  <c r="AC104" i="15"/>
  <c r="AB104" i="15"/>
  <c r="R104" i="15"/>
  <c r="AC102" i="15"/>
  <c r="O102" i="15"/>
  <c r="R103" i="15"/>
  <c r="U102" i="15"/>
  <c r="AH101" i="15"/>
  <c r="AE102" i="15"/>
  <c r="W102" i="15"/>
  <c r="AB102" i="15"/>
  <c r="Q98" i="15"/>
  <c r="I100" i="15"/>
  <c r="W100" i="15"/>
  <c r="AF106" i="15"/>
  <c r="N97" i="15"/>
  <c r="V97" i="15"/>
  <c r="AD97" i="15"/>
  <c r="AF103" i="15"/>
  <c r="N105" i="15"/>
  <c r="V105" i="15"/>
  <c r="AD105" i="15"/>
  <c r="O97" i="15"/>
  <c r="W97" i="15"/>
  <c r="AE97" i="15"/>
  <c r="Z98" i="15"/>
  <c r="K101" i="15"/>
  <c r="S101" i="15"/>
  <c r="AA101" i="15"/>
  <c r="N102" i="15"/>
  <c r="V102" i="15"/>
  <c r="AD102" i="15"/>
  <c r="I103" i="15"/>
  <c r="O105" i="15"/>
  <c r="W105" i="15"/>
  <c r="AE105" i="15"/>
  <c r="P97" i="15"/>
  <c r="X105" i="15"/>
  <c r="AF105" i="15"/>
  <c r="I97" i="15"/>
  <c r="Q97" i="15"/>
  <c r="Y97" i="15"/>
  <c r="AG97" i="15"/>
  <c r="L98" i="15"/>
  <c r="J100" i="15"/>
  <c r="R100" i="15"/>
  <c r="M101" i="15"/>
  <c r="U101" i="15"/>
  <c r="AC101" i="15"/>
  <c r="P102" i="15"/>
  <c r="X102" i="15"/>
  <c r="AF102" i="15"/>
  <c r="N104" i="15"/>
  <c r="V104" i="15"/>
  <c r="AD104" i="15"/>
  <c r="I105" i="15"/>
  <c r="Q105" i="15"/>
  <c r="Y105" i="15"/>
  <c r="AG105" i="15"/>
  <c r="L106" i="15"/>
  <c r="T106" i="15"/>
  <c r="AB106" i="15"/>
  <c r="O107" i="15"/>
  <c r="W107" i="15"/>
  <c r="AE107" i="15"/>
  <c r="AF97" i="15"/>
  <c r="J97" i="15"/>
  <c r="Z97" i="15"/>
  <c r="AH97" i="15"/>
  <c r="N101" i="15"/>
  <c r="V101" i="15"/>
  <c r="AD101" i="15"/>
  <c r="I102" i="15"/>
  <c r="Q102" i="15"/>
  <c r="Y102" i="15"/>
  <c r="AG102" i="15"/>
  <c r="O104" i="15"/>
  <c r="W104" i="15"/>
  <c r="AE104" i="15"/>
  <c r="J105" i="15"/>
  <c r="R105" i="15"/>
  <c r="Z105" i="15"/>
  <c r="AH105" i="15"/>
  <c r="M106" i="15"/>
  <c r="U106" i="15"/>
  <c r="AC106" i="15"/>
  <c r="P107" i="15"/>
  <c r="X107" i="15"/>
  <c r="AF107" i="15"/>
  <c r="X97" i="15"/>
  <c r="P105" i="15"/>
  <c r="R97" i="15"/>
  <c r="K97" i="15"/>
  <c r="S97" i="15"/>
  <c r="AA97" i="15"/>
  <c r="T100" i="15"/>
  <c r="O101" i="15"/>
  <c r="W101" i="15"/>
  <c r="AE101" i="15"/>
  <c r="J102" i="15"/>
  <c r="R102" i="15"/>
  <c r="Z102" i="15"/>
  <c r="AH102" i="15"/>
  <c r="AC103" i="15"/>
  <c r="P104" i="15"/>
  <c r="X104" i="15"/>
  <c r="AF104" i="15"/>
  <c r="K105" i="15"/>
  <c r="S105" i="15"/>
  <c r="AA105" i="15"/>
  <c r="N106" i="15"/>
  <c r="V106" i="15"/>
  <c r="AD106" i="15"/>
  <c r="I107" i="15"/>
  <c r="Q107" i="15"/>
  <c r="Y107" i="15"/>
  <c r="AG107" i="15"/>
  <c r="L97" i="15"/>
  <c r="T97" i="15"/>
  <c r="AB97" i="15"/>
  <c r="U100" i="15"/>
  <c r="P101" i="15"/>
  <c r="X101" i="15"/>
  <c r="AF101" i="15"/>
  <c r="K102" i="15"/>
  <c r="S102" i="15"/>
  <c r="AA102" i="15"/>
  <c r="I104" i="15"/>
  <c r="Q104" i="15"/>
  <c r="Y104" i="15"/>
  <c r="L105" i="15"/>
  <c r="T105" i="15"/>
  <c r="AB105" i="15"/>
  <c r="O106" i="15"/>
  <c r="W106" i="15"/>
  <c r="AE106" i="15"/>
  <c r="J107" i="15"/>
  <c r="R107" i="15"/>
  <c r="Z107" i="15"/>
  <c r="AH107" i="15"/>
  <c r="M97" i="15"/>
  <c r="U97" i="15"/>
  <c r="N100" i="15"/>
  <c r="I101" i="15"/>
  <c r="Q101" i="15"/>
  <c r="Y101" i="15"/>
  <c r="L102" i="15"/>
  <c r="T102" i="15"/>
  <c r="M105" i="15"/>
  <c r="U105" i="15"/>
  <c r="P106" i="15"/>
  <c r="X106" i="15"/>
  <c r="K107" i="15"/>
  <c r="S107" i="15"/>
  <c r="K77" i="15"/>
  <c r="M11" i="15"/>
  <c r="AA74" i="15"/>
  <c r="X8" i="15"/>
  <c r="Y82" i="15"/>
  <c r="Q77" i="15"/>
  <c r="AA73" i="15"/>
  <c r="W32" i="15"/>
  <c r="W80" i="15"/>
  <c r="P77" i="15"/>
  <c r="Q73" i="15"/>
  <c r="V32" i="15"/>
  <c r="S80" i="15"/>
  <c r="R76" i="15"/>
  <c r="O32" i="15"/>
  <c r="R80" i="15"/>
  <c r="K76" i="15"/>
  <c r="Q30" i="15"/>
  <c r="V79" i="15"/>
  <c r="AG75" i="15"/>
  <c r="AG29" i="15"/>
  <c r="O79" i="15"/>
  <c r="K75" i="15"/>
  <c r="U12" i="15"/>
  <c r="AF28" i="15"/>
  <c r="K79" i="15"/>
  <c r="J75" i="15"/>
  <c r="V17" i="15"/>
  <c r="U17" i="15"/>
  <c r="M12" i="15"/>
  <c r="AE10" i="15"/>
  <c r="Q8" i="15"/>
  <c r="AE34" i="15"/>
  <c r="P30" i="15"/>
  <c r="Y28" i="15"/>
  <c r="X82" i="15"/>
  <c r="I7" i="15"/>
  <c r="P17" i="15"/>
  <c r="K12" i="15"/>
  <c r="AC10" i="15"/>
  <c r="O8" i="15"/>
  <c r="AA34" i="15"/>
  <c r="W28" i="15"/>
  <c r="Q82" i="15"/>
  <c r="AH82" i="15"/>
  <c r="I8" i="15"/>
  <c r="N17" i="15"/>
  <c r="AB11" i="15"/>
  <c r="U10" i="15"/>
  <c r="N8" i="15"/>
  <c r="S34" i="15"/>
  <c r="K32" i="15"/>
  <c r="AE29" i="15"/>
  <c r="V28" i="15"/>
  <c r="O82" i="15"/>
  <c r="K80" i="15"/>
  <c r="J79" i="15"/>
  <c r="AG76" i="15"/>
  <c r="AF75" i="15"/>
  <c r="Y74" i="15"/>
  <c r="AH74" i="15"/>
  <c r="AF17" i="15"/>
  <c r="M17" i="15"/>
  <c r="Z11" i="15"/>
  <c r="S10" i="15"/>
  <c r="AF7" i="15"/>
  <c r="Q34" i="15"/>
  <c r="AE30" i="15"/>
  <c r="W29" i="15"/>
  <c r="O28" i="15"/>
  <c r="N82" i="15"/>
  <c r="AG79" i="15"/>
  <c r="AE76" i="15"/>
  <c r="Y75" i="15"/>
  <c r="X74" i="15"/>
  <c r="AD17" i="15"/>
  <c r="Y11" i="15"/>
  <c r="K10" i="15"/>
  <c r="AD7" i="15"/>
  <c r="AG32" i="15"/>
  <c r="AA30" i="15"/>
  <c r="S29" i="15"/>
  <c r="K28" i="15"/>
  <c r="AG80" i="15"/>
  <c r="AF79" i="15"/>
  <c r="AE77" i="15"/>
  <c r="AD76" i="15"/>
  <c r="W75" i="15"/>
  <c r="Q74" i="15"/>
  <c r="AC17" i="15"/>
  <c r="AG12" i="15"/>
  <c r="R11" i="15"/>
  <c r="AC8" i="15"/>
  <c r="V7" i="15"/>
  <c r="AF32" i="15"/>
  <c r="Z30" i="15"/>
  <c r="K29" i="15"/>
  <c r="AE80" i="15"/>
  <c r="Y79" i="15"/>
  <c r="AA77" i="15"/>
  <c r="W76" i="15"/>
  <c r="V75" i="15"/>
  <c r="O74" i="15"/>
  <c r="J7" i="15"/>
  <c r="X17" i="15"/>
  <c r="Y12" i="15"/>
  <c r="N11" i="15"/>
  <c r="R7" i="15"/>
  <c r="S30" i="15"/>
  <c r="AG28" i="15"/>
  <c r="W79" i="15"/>
  <c r="Z77" i="15"/>
  <c r="S76" i="15"/>
  <c r="O75" i="15"/>
  <c r="N74" i="15"/>
  <c r="L33" i="15"/>
  <c r="T33" i="15"/>
  <c r="AB33" i="15"/>
  <c r="M33" i="15"/>
  <c r="U33" i="15"/>
  <c r="AC33" i="15"/>
  <c r="N33" i="15"/>
  <c r="X33" i="15"/>
  <c r="AH33" i="15"/>
  <c r="O33" i="15"/>
  <c r="Y33" i="15"/>
  <c r="P33" i="15"/>
  <c r="Z33" i="15"/>
  <c r="Q33" i="15"/>
  <c r="AA33" i="15"/>
  <c r="R33" i="15"/>
  <c r="AD33" i="15"/>
  <c r="V33" i="15"/>
  <c r="AF33" i="15"/>
  <c r="AB13" i="15"/>
  <c r="N9" i="15"/>
  <c r="L9" i="15"/>
  <c r="T13" i="15"/>
  <c r="AG33" i="15"/>
  <c r="L72" i="15"/>
  <c r="T72" i="15"/>
  <c r="AB72" i="15"/>
  <c r="M72" i="15"/>
  <c r="U72" i="15"/>
  <c r="AC72" i="15"/>
  <c r="N72" i="15"/>
  <c r="X72" i="15"/>
  <c r="O72" i="15"/>
  <c r="Y72" i="15"/>
  <c r="P72" i="15"/>
  <c r="Z72" i="15"/>
  <c r="I72" i="15"/>
  <c r="Q72" i="15"/>
  <c r="AA72" i="15"/>
  <c r="R72" i="15"/>
  <c r="AD72" i="15"/>
  <c r="J72" i="15"/>
  <c r="V72" i="15"/>
  <c r="AF72" i="15"/>
  <c r="K72" i="15"/>
  <c r="W72" i="15"/>
  <c r="AG72" i="15"/>
  <c r="L81" i="15"/>
  <c r="T81" i="15"/>
  <c r="AB81" i="15"/>
  <c r="M81" i="15"/>
  <c r="U81" i="15"/>
  <c r="AC81" i="15"/>
  <c r="J81" i="15"/>
  <c r="V81" i="15"/>
  <c r="AF81" i="15"/>
  <c r="K81" i="15"/>
  <c r="W81" i="15"/>
  <c r="AG81" i="15"/>
  <c r="N81" i="15"/>
  <c r="X81" i="15"/>
  <c r="O81" i="15"/>
  <c r="Y81" i="15"/>
  <c r="AH81" i="15"/>
  <c r="P81" i="15"/>
  <c r="Z81" i="15"/>
  <c r="I81" i="15"/>
  <c r="R81" i="15"/>
  <c r="AD81" i="15"/>
  <c r="R13" i="15"/>
  <c r="AE33" i="15"/>
  <c r="AE81" i="15"/>
  <c r="L31" i="15"/>
  <c r="T31" i="15"/>
  <c r="AB31" i="15"/>
  <c r="M31" i="15"/>
  <c r="U31" i="15"/>
  <c r="AC31" i="15"/>
  <c r="R31" i="15"/>
  <c r="AD31" i="15"/>
  <c r="S31" i="15"/>
  <c r="AE31" i="15"/>
  <c r="V31" i="15"/>
  <c r="AF31" i="15"/>
  <c r="K31" i="15"/>
  <c r="W31" i="15"/>
  <c r="AG31" i="15"/>
  <c r="N31" i="15"/>
  <c r="X31" i="15"/>
  <c r="AH31" i="15"/>
  <c r="P31" i="15"/>
  <c r="Z31" i="15"/>
  <c r="V9" i="15"/>
  <c r="Y31" i="15"/>
  <c r="Q31" i="15"/>
  <c r="W33" i="15"/>
  <c r="AA81" i="15"/>
  <c r="M13" i="15"/>
  <c r="U13" i="15"/>
  <c r="AC13" i="15"/>
  <c r="N13" i="15"/>
  <c r="V13" i="15"/>
  <c r="AD13" i="15"/>
  <c r="K13" i="15"/>
  <c r="W13" i="15"/>
  <c r="AG13" i="15"/>
  <c r="L13" i="15"/>
  <c r="X13" i="15"/>
  <c r="AH13" i="15"/>
  <c r="O13" i="15"/>
  <c r="Y13" i="15"/>
  <c r="Q13" i="15"/>
  <c r="P13" i="15"/>
  <c r="Z13" i="15"/>
  <c r="AA13" i="15"/>
  <c r="S13" i="15"/>
  <c r="AE13" i="15"/>
  <c r="AF13" i="15"/>
  <c r="S33" i="15"/>
  <c r="S81" i="15"/>
  <c r="AE72" i="15"/>
  <c r="Q9" i="15"/>
  <c r="Y9" i="15"/>
  <c r="AG9" i="15"/>
  <c r="J9" i="15"/>
  <c r="R9" i="15"/>
  <c r="Z9" i="15"/>
  <c r="AH9" i="15"/>
  <c r="O9" i="15"/>
  <c r="AA9" i="15"/>
  <c r="P9" i="15"/>
  <c r="AB9" i="15"/>
  <c r="S9" i="15"/>
  <c r="AC9" i="15"/>
  <c r="U9" i="15"/>
  <c r="T9" i="15"/>
  <c r="AD9" i="15"/>
  <c r="K9" i="15"/>
  <c r="AE9" i="15"/>
  <c r="M9" i="15"/>
  <c r="W9" i="15"/>
  <c r="L78" i="15"/>
  <c r="T78" i="15"/>
  <c r="AB78" i="15"/>
  <c r="AH78" i="15"/>
  <c r="M78" i="15"/>
  <c r="U78" i="15"/>
  <c r="AC78" i="15"/>
  <c r="R78" i="15"/>
  <c r="AD78" i="15"/>
  <c r="S78" i="15"/>
  <c r="AE78" i="15"/>
  <c r="J78" i="15"/>
  <c r="V78" i="15"/>
  <c r="AF78" i="15"/>
  <c r="K78" i="15"/>
  <c r="W78" i="15"/>
  <c r="AG78" i="15"/>
  <c r="N78" i="15"/>
  <c r="X78" i="15"/>
  <c r="P78" i="15"/>
  <c r="Z78" i="15"/>
  <c r="Q78" i="15"/>
  <c r="AA78" i="15"/>
  <c r="X9" i="15"/>
  <c r="K33" i="15"/>
  <c r="AA31" i="15"/>
  <c r="Q81" i="15"/>
  <c r="Y78" i="15"/>
  <c r="S72" i="15"/>
  <c r="AE73" i="15"/>
  <c r="S73" i="15"/>
  <c r="J8" i="15"/>
  <c r="R8" i="15"/>
  <c r="Z8" i="15"/>
  <c r="AH8" i="15"/>
  <c r="K8" i="15"/>
  <c r="S8" i="15"/>
  <c r="AA8" i="15"/>
  <c r="L32" i="15"/>
  <c r="T32" i="15"/>
  <c r="AB32" i="15"/>
  <c r="M32" i="15"/>
  <c r="U32" i="15"/>
  <c r="AC32" i="15"/>
  <c r="L80" i="15"/>
  <c r="T80" i="15"/>
  <c r="AB80" i="15"/>
  <c r="M80" i="15"/>
  <c r="U80" i="15"/>
  <c r="AC80" i="15"/>
  <c r="L82" i="15"/>
  <c r="T82" i="15"/>
  <c r="AB82" i="15"/>
  <c r="M82" i="15"/>
  <c r="U82" i="15"/>
  <c r="AC82" i="15"/>
  <c r="AE17" i="15"/>
  <c r="W17" i="15"/>
  <c r="O17" i="15"/>
  <c r="AH12" i="15"/>
  <c r="X12" i="15"/>
  <c r="L12" i="15"/>
  <c r="AA11" i="15"/>
  <c r="AD10" i="15"/>
  <c r="T10" i="15"/>
  <c r="J10" i="15"/>
  <c r="AB8" i="15"/>
  <c r="P8" i="15"/>
  <c r="AE7" i="15"/>
  <c r="U7" i="15"/>
  <c r="AD34" i="15"/>
  <c r="R34" i="15"/>
  <c r="AH32" i="15"/>
  <c r="X32" i="15"/>
  <c r="N32" i="15"/>
  <c r="AD30" i="15"/>
  <c r="R30" i="15"/>
  <c r="AF29" i="15"/>
  <c r="V29" i="15"/>
  <c r="AH28" i="15"/>
  <c r="X28" i="15"/>
  <c r="N28" i="15"/>
  <c r="Z82" i="15"/>
  <c r="P82" i="15"/>
  <c r="AF80" i="15"/>
  <c r="V80" i="15"/>
  <c r="J80" i="15"/>
  <c r="X79" i="15"/>
  <c r="N79" i="15"/>
  <c r="AD77" i="15"/>
  <c r="R77" i="15"/>
  <c r="AF76" i="15"/>
  <c r="V76" i="15"/>
  <c r="J76" i="15"/>
  <c r="X75" i="15"/>
  <c r="N75" i="15"/>
  <c r="Z74" i="15"/>
  <c r="AD73" i="15"/>
  <c r="R73" i="15"/>
  <c r="AH73" i="15"/>
  <c r="T12" i="15"/>
  <c r="Q7" i="15"/>
  <c r="Z34" i="15"/>
  <c r="AD29" i="15"/>
  <c r="R29" i="15"/>
  <c r="Z73" i="15"/>
  <c r="P73" i="15"/>
  <c r="L34" i="15"/>
  <c r="T34" i="15"/>
  <c r="AB34" i="15"/>
  <c r="M34" i="15"/>
  <c r="U34" i="15"/>
  <c r="AC34" i="15"/>
  <c r="AF12" i="15"/>
  <c r="AB10" i="15"/>
  <c r="R10" i="15"/>
  <c r="AC7" i="15"/>
  <c r="O11" i="15"/>
  <c r="W11" i="15"/>
  <c r="AE11" i="15"/>
  <c r="P11" i="15"/>
  <c r="X11" i="15"/>
  <c r="AF11" i="15"/>
  <c r="L74" i="15"/>
  <c r="T74" i="15"/>
  <c r="AB74" i="15"/>
  <c r="M74" i="15"/>
  <c r="U74" i="15"/>
  <c r="AC74" i="15"/>
  <c r="AB17" i="15"/>
  <c r="T17" i="15"/>
  <c r="L17" i="15"/>
  <c r="AC12" i="15"/>
  <c r="S12" i="15"/>
  <c r="AH11" i="15"/>
  <c r="V11" i="15"/>
  <c r="L11" i="15"/>
  <c r="AA10" i="15"/>
  <c r="O10" i="15"/>
  <c r="AG8" i="15"/>
  <c r="W8" i="15"/>
  <c r="M8" i="15"/>
  <c r="Z7" i="15"/>
  <c r="P7" i="15"/>
  <c r="Y34" i="15"/>
  <c r="O34" i="15"/>
  <c r="AE32" i="15"/>
  <c r="S32" i="15"/>
  <c r="Y30" i="15"/>
  <c r="O30" i="15"/>
  <c r="AA29" i="15"/>
  <c r="Q29" i="15"/>
  <c r="AE28" i="15"/>
  <c r="AG82" i="15"/>
  <c r="W82" i="15"/>
  <c r="K82" i="15"/>
  <c r="AA80" i="15"/>
  <c r="Q80" i="15"/>
  <c r="AE79" i="15"/>
  <c r="S79" i="15"/>
  <c r="Y77" i="15"/>
  <c r="O77" i="15"/>
  <c r="AA76" i="15"/>
  <c r="Q76" i="15"/>
  <c r="AE75" i="15"/>
  <c r="AG74" i="15"/>
  <c r="W74" i="15"/>
  <c r="K74" i="15"/>
  <c r="Y73" i="15"/>
  <c r="AH80" i="15"/>
  <c r="L73" i="15"/>
  <c r="T73" i="15"/>
  <c r="AB73" i="15"/>
  <c r="M73" i="15"/>
  <c r="U73" i="15"/>
  <c r="AC73" i="15"/>
  <c r="J12" i="15"/>
  <c r="L28" i="15"/>
  <c r="T28" i="15"/>
  <c r="AB28" i="15"/>
  <c r="M28" i="15"/>
  <c r="U28" i="15"/>
  <c r="AC28" i="15"/>
  <c r="L75" i="15"/>
  <c r="T75" i="15"/>
  <c r="AB75" i="15"/>
  <c r="M75" i="15"/>
  <c r="U75" i="15"/>
  <c r="AC75" i="15"/>
  <c r="AA17" i="15"/>
  <c r="S17" i="15"/>
  <c r="K17" i="15"/>
  <c r="AB12" i="15"/>
  <c r="R12" i="15"/>
  <c r="AG11" i="15"/>
  <c r="U11" i="15"/>
  <c r="K11" i="15"/>
  <c r="Z10" i="15"/>
  <c r="N10" i="15"/>
  <c r="AF8" i="15"/>
  <c r="V8" i="15"/>
  <c r="L8" i="15"/>
  <c r="Y7" i="15"/>
  <c r="AH34" i="15"/>
  <c r="X34" i="15"/>
  <c r="N34" i="15"/>
  <c r="AD32" i="15"/>
  <c r="R32" i="15"/>
  <c r="AH30" i="15"/>
  <c r="X30" i="15"/>
  <c r="N30" i="15"/>
  <c r="Z29" i="15"/>
  <c r="AD28" i="15"/>
  <c r="R28" i="15"/>
  <c r="AF82" i="15"/>
  <c r="V82" i="15"/>
  <c r="J82" i="15"/>
  <c r="Z80" i="15"/>
  <c r="P80" i="15"/>
  <c r="AD79" i="15"/>
  <c r="R79" i="15"/>
  <c r="X77" i="15"/>
  <c r="N77" i="15"/>
  <c r="Z76" i="15"/>
  <c r="AD75" i="15"/>
  <c r="R75" i="15"/>
  <c r="AF74" i="15"/>
  <c r="V74" i="15"/>
  <c r="J74" i="15"/>
  <c r="X73" i="15"/>
  <c r="N73" i="15"/>
  <c r="AH79" i="15"/>
  <c r="K7" i="15"/>
  <c r="S7" i="15"/>
  <c r="AA7" i="15"/>
  <c r="L7" i="15"/>
  <c r="T7" i="15"/>
  <c r="AB7" i="15"/>
  <c r="L29" i="15"/>
  <c r="T29" i="15"/>
  <c r="AB29" i="15"/>
  <c r="M29" i="15"/>
  <c r="U29" i="15"/>
  <c r="AC29" i="15"/>
  <c r="L76" i="15"/>
  <c r="T76" i="15"/>
  <c r="AB76" i="15"/>
  <c r="M76" i="15"/>
  <c r="U76" i="15"/>
  <c r="AC76" i="15"/>
  <c r="AH17" i="15"/>
  <c r="Z17" i="15"/>
  <c r="R17" i="15"/>
  <c r="J17" i="15"/>
  <c r="AA12" i="15"/>
  <c r="AD11" i="15"/>
  <c r="T11" i="15"/>
  <c r="J11" i="15"/>
  <c r="W10" i="15"/>
  <c r="AE8" i="15"/>
  <c r="U8" i="15"/>
  <c r="AH7" i="15"/>
  <c r="X7" i="15"/>
  <c r="N7" i="15"/>
  <c r="AG34" i="15"/>
  <c r="W34" i="15"/>
  <c r="K34" i="15"/>
  <c r="AA32" i="15"/>
  <c r="Q32" i="15"/>
  <c r="AG30" i="15"/>
  <c r="W30" i="15"/>
  <c r="Y29" i="15"/>
  <c r="O29" i="15"/>
  <c r="AA28" i="15"/>
  <c r="Q28" i="15"/>
  <c r="AE82" i="15"/>
  <c r="S82" i="15"/>
  <c r="Y80" i="15"/>
  <c r="O80" i="15"/>
  <c r="AA79" i="15"/>
  <c r="AG77" i="15"/>
  <c r="W77" i="15"/>
  <c r="Y76" i="15"/>
  <c r="O76" i="15"/>
  <c r="AA75" i="15"/>
  <c r="Q75" i="15"/>
  <c r="AE74" i="15"/>
  <c r="S74" i="15"/>
  <c r="AG73" i="15"/>
  <c r="W73" i="15"/>
  <c r="K73" i="15"/>
  <c r="AH76" i="15"/>
  <c r="N12" i="15"/>
  <c r="V12" i="15"/>
  <c r="AD12" i="15"/>
  <c r="O12" i="15"/>
  <c r="W12" i="15"/>
  <c r="AE12" i="15"/>
  <c r="P10" i="15"/>
  <c r="X10" i="15"/>
  <c r="AF10" i="15"/>
  <c r="Q10" i="15"/>
  <c r="Y10" i="15"/>
  <c r="AG10" i="15"/>
  <c r="L30" i="15"/>
  <c r="T30" i="15"/>
  <c r="AB30" i="15"/>
  <c r="M30" i="15"/>
  <c r="U30" i="15"/>
  <c r="AC30" i="15"/>
  <c r="L79" i="15"/>
  <c r="T79" i="15"/>
  <c r="AB79" i="15"/>
  <c r="M79" i="15"/>
  <c r="U79" i="15"/>
  <c r="AC79" i="15"/>
  <c r="AH77" i="15"/>
  <c r="L77" i="15"/>
  <c r="T77" i="15"/>
  <c r="AB77" i="15"/>
  <c r="M77" i="15"/>
  <c r="U77" i="15"/>
  <c r="AC77" i="15"/>
  <c r="AG17" i="15"/>
  <c r="Y17" i="15"/>
  <c r="Z12" i="15"/>
  <c r="P12" i="15"/>
  <c r="AC11" i="15"/>
  <c r="S11" i="15"/>
  <c r="AH10" i="15"/>
  <c r="V10" i="15"/>
  <c r="L10" i="15"/>
  <c r="AD8" i="15"/>
  <c r="T8" i="15"/>
  <c r="AG7" i="15"/>
  <c r="W7" i="15"/>
  <c r="M7" i="15"/>
  <c r="AF34" i="15"/>
  <c r="V34" i="15"/>
  <c r="Z32" i="15"/>
  <c r="P32" i="15"/>
  <c r="AF30" i="15"/>
  <c r="V30" i="15"/>
  <c r="AH29" i="15"/>
  <c r="X29" i="15"/>
  <c r="N29" i="15"/>
  <c r="Z28" i="15"/>
  <c r="P28" i="15"/>
  <c r="AD82" i="15"/>
  <c r="R82" i="15"/>
  <c r="X80" i="15"/>
  <c r="N80" i="15"/>
  <c r="Z79" i="15"/>
  <c r="P79" i="15"/>
  <c r="AF77" i="15"/>
  <c r="V77" i="15"/>
  <c r="J77" i="15"/>
  <c r="X76" i="15"/>
  <c r="N76" i="15"/>
  <c r="Z75" i="15"/>
  <c r="P75" i="15"/>
  <c r="AD74" i="15"/>
  <c r="R74" i="15"/>
  <c r="AF73" i="15"/>
  <c r="V73" i="15"/>
  <c r="J73" i="15"/>
  <c r="AH75" i="15"/>
  <c r="I75" i="15"/>
  <c r="I78" i="15"/>
  <c r="I80" i="15"/>
  <c r="I77" i="15"/>
  <c r="I74" i="15"/>
  <c r="I82" i="15"/>
  <c r="I73" i="15"/>
  <c r="I79" i="15"/>
  <c r="I76" i="15"/>
  <c r="P55" i="15"/>
  <c r="N58" i="15"/>
  <c r="AI47" i="15"/>
  <c r="AI6" i="15" s="1"/>
  <c r="A6" i="15" s="1"/>
  <c r="F47" i="15"/>
  <c r="AJ47" i="15"/>
  <c r="AJ27" i="15"/>
  <c r="F27" i="15"/>
  <c r="I6" i="15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I56" i="15"/>
  <c r="AI36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C38" i="16"/>
  <c r="C28" i="16"/>
  <c r="D13" i="16"/>
  <c r="AF57" i="15"/>
  <c r="Q54" i="15"/>
  <c r="J53" i="15"/>
  <c r="K52" i="15"/>
  <c r="L51" i="15"/>
  <c r="N49" i="15"/>
  <c r="L48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F54" i="30"/>
  <c r="I4" i="14"/>
  <c r="H4" i="14"/>
  <c r="G4" i="14"/>
  <c r="F4" i="14"/>
  <c r="E4" i="14"/>
  <c r="I9" i="14"/>
  <c r="I42" i="30"/>
  <c r="B37" i="30"/>
  <c r="I36" i="30"/>
  <c r="B31" i="30"/>
  <c r="I30" i="30"/>
  <c r="B25" i="30"/>
  <c r="I24" i="30"/>
  <c r="B19" i="30"/>
  <c r="I18" i="30"/>
  <c r="B13" i="30"/>
  <c r="F51" i="30"/>
  <c r="B7" i="30"/>
  <c r="I54" i="30"/>
  <c r="H54" i="30"/>
  <c r="G54" i="30"/>
  <c r="I38" i="30" s="1"/>
  <c r="I53" i="30"/>
  <c r="I33" i="30"/>
  <c r="G53" i="30"/>
  <c r="I32" i="30" s="1"/>
  <c r="F53" i="30"/>
  <c r="I50" i="30"/>
  <c r="H50" i="30"/>
  <c r="I14" i="30"/>
  <c r="I13" i="30"/>
  <c r="I52" i="30"/>
  <c r="H52" i="30"/>
  <c r="G52" i="30"/>
  <c r="I26" i="30" s="1"/>
  <c r="F52" i="30"/>
  <c r="I49" i="30"/>
  <c r="H49" i="30"/>
  <c r="G49" i="30"/>
  <c r="I8" i="30" s="1"/>
  <c r="E53" i="30"/>
  <c r="E50" i="30"/>
  <c r="E49" i="30"/>
  <c r="E52" i="30"/>
  <c r="E54" i="30"/>
  <c r="B2" i="30"/>
  <c r="G4" i="30" s="1"/>
  <c r="I12" i="30"/>
  <c r="E51" i="30"/>
  <c r="I22" i="30"/>
  <c r="I20" i="30"/>
  <c r="I21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8" i="24"/>
  <c r="C18" i="24"/>
  <c r="E17" i="24"/>
  <c r="C17" i="24"/>
  <c r="E16" i="24"/>
  <c r="C16" i="24"/>
  <c r="E15" i="24"/>
  <c r="C15" i="24"/>
  <c r="E13" i="24"/>
  <c r="C13" i="24"/>
  <c r="E11" i="24"/>
  <c r="C11" i="24"/>
  <c r="E10" i="24"/>
  <c r="C10" i="24"/>
  <c r="E9" i="24"/>
  <c r="C9" i="24"/>
  <c r="B3" i="24"/>
  <c r="T4" i="14" l="1"/>
  <c r="T16" i="14"/>
  <c r="I19" i="30"/>
  <c r="I37" i="30"/>
  <c r="I25" i="30"/>
  <c r="T7" i="8"/>
  <c r="T18" i="8"/>
  <c r="T20" i="8"/>
  <c r="T9" i="8"/>
  <c r="I31" i="30"/>
  <c r="I16" i="30"/>
  <c r="I34" i="30"/>
  <c r="W21" i="14"/>
  <c r="W9" i="14"/>
  <c r="W9" i="8"/>
  <c r="W20" i="8"/>
  <c r="I40" i="30"/>
  <c r="I10" i="30"/>
  <c r="W16" i="14"/>
  <c r="W4" i="14"/>
  <c r="W7" i="8"/>
  <c r="W18" i="8"/>
  <c r="I28" i="30"/>
  <c r="I15" i="30"/>
  <c r="V18" i="8"/>
  <c r="V7" i="8"/>
  <c r="V20" i="8"/>
  <c r="V9" i="8"/>
  <c r="I39" i="30"/>
  <c r="I9" i="30"/>
  <c r="V16" i="14"/>
  <c r="V4" i="14"/>
  <c r="I27" i="30"/>
  <c r="W103" i="15"/>
  <c r="X98" i="15"/>
  <c r="N103" i="15"/>
  <c r="AE98" i="15"/>
  <c r="AC98" i="15"/>
  <c r="O103" i="15"/>
  <c r="W98" i="15"/>
  <c r="AB103" i="15"/>
  <c r="S100" i="15"/>
  <c r="Y100" i="15"/>
  <c r="O98" i="15"/>
  <c r="U98" i="15"/>
  <c r="AG103" i="15"/>
  <c r="AH98" i="15"/>
  <c r="N98" i="15"/>
  <c r="AA103" i="15"/>
  <c r="Z100" i="15"/>
  <c r="R98" i="15"/>
  <c r="X103" i="15"/>
  <c r="O100" i="15"/>
  <c r="AG98" i="15"/>
  <c r="K103" i="15"/>
  <c r="P103" i="15"/>
  <c r="S99" i="15"/>
  <c r="Y99" i="15"/>
  <c r="X99" i="15"/>
  <c r="K99" i="15"/>
  <c r="Q99" i="15"/>
  <c r="P99" i="15"/>
  <c r="T99" i="15"/>
  <c r="J98" i="15"/>
  <c r="AF98" i="15"/>
  <c r="K98" i="15"/>
  <c r="AD99" i="15"/>
  <c r="M99" i="15"/>
  <c r="L99" i="15"/>
  <c r="J99" i="15"/>
  <c r="AB99" i="15"/>
  <c r="AH99" i="15"/>
  <c r="AA99" i="15"/>
  <c r="AC99" i="15"/>
  <c r="V99" i="15"/>
  <c r="U99" i="15"/>
  <c r="P98" i="15"/>
  <c r="AD103" i="15"/>
  <c r="U103" i="15"/>
  <c r="AD98" i="15"/>
  <c r="T103" i="15"/>
  <c r="M98" i="15"/>
  <c r="W99" i="15"/>
  <c r="Y103" i="15"/>
  <c r="AA98" i="15"/>
  <c r="J103" i="15"/>
  <c r="Z103" i="15"/>
  <c r="Z99" i="15"/>
  <c r="V103" i="15"/>
  <c r="AC100" i="15"/>
  <c r="M103" i="15"/>
  <c r="AB100" i="15"/>
  <c r="V98" i="15"/>
  <c r="L103" i="15"/>
  <c r="AA100" i="15"/>
  <c r="O99" i="15"/>
  <c r="Q103" i="15"/>
  <c r="AF100" i="15"/>
  <c r="Q100" i="15"/>
  <c r="I98" i="15"/>
  <c r="I99" i="15"/>
  <c r="AE99" i="15"/>
  <c r="N99" i="15"/>
  <c r="AB98" i="15"/>
  <c r="X100" i="15"/>
  <c r="Y98" i="15"/>
  <c r="V100" i="15"/>
  <c r="M100" i="15"/>
  <c r="L100" i="15"/>
  <c r="K100" i="15"/>
  <c r="S103" i="15"/>
  <c r="AH100" i="15"/>
  <c r="T98" i="15"/>
  <c r="P100" i="15"/>
  <c r="AE100" i="15"/>
  <c r="AD100" i="15"/>
  <c r="AH103" i="15"/>
  <c r="AG99" i="15"/>
  <c r="AF99" i="15"/>
  <c r="K15" i="15"/>
  <c r="S15" i="15"/>
  <c r="L15" i="15"/>
  <c r="T15" i="15"/>
  <c r="Q15" i="15"/>
  <c r="AA15" i="15"/>
  <c r="R15" i="15"/>
  <c r="AB15" i="15"/>
  <c r="U15" i="15"/>
  <c r="AC15" i="15"/>
  <c r="AE15" i="15"/>
  <c r="J15" i="15"/>
  <c r="V15" i="15"/>
  <c r="AD15" i="15"/>
  <c r="W15" i="15"/>
  <c r="M15" i="15"/>
  <c r="O15" i="15"/>
  <c r="Y15" i="15"/>
  <c r="AG15" i="15"/>
  <c r="N15" i="15"/>
  <c r="P15" i="15"/>
  <c r="X15" i="15"/>
  <c r="Z15" i="15"/>
  <c r="AF15" i="15"/>
  <c r="AH15" i="15"/>
  <c r="L36" i="15"/>
  <c r="T36" i="15"/>
  <c r="AB36" i="15"/>
  <c r="M36" i="15"/>
  <c r="U36" i="15"/>
  <c r="AC36" i="15"/>
  <c r="R36" i="15"/>
  <c r="AD36" i="15"/>
  <c r="S36" i="15"/>
  <c r="AE36" i="15"/>
  <c r="V36" i="15"/>
  <c r="AF36" i="15"/>
  <c r="X36" i="15"/>
  <c r="K36" i="15"/>
  <c r="W36" i="15"/>
  <c r="AG36" i="15"/>
  <c r="N36" i="15"/>
  <c r="AH36" i="15"/>
  <c r="P36" i="15"/>
  <c r="Z36" i="15"/>
  <c r="O36" i="15"/>
  <c r="Q36" i="15"/>
  <c r="Y36" i="15"/>
  <c r="AA36" i="15"/>
  <c r="J16" i="15"/>
  <c r="R16" i="15"/>
  <c r="Z16" i="15"/>
  <c r="AH16" i="15"/>
  <c r="K16" i="15"/>
  <c r="S16" i="15"/>
  <c r="AA16" i="15"/>
  <c r="L16" i="15"/>
  <c r="T16" i="15"/>
  <c r="AB16" i="15"/>
  <c r="M16" i="15"/>
  <c r="U16" i="15"/>
  <c r="AC16" i="15"/>
  <c r="N16" i="15"/>
  <c r="AD16" i="15"/>
  <c r="V16" i="15"/>
  <c r="P16" i="15"/>
  <c r="X16" i="15"/>
  <c r="AF16" i="15"/>
  <c r="W16" i="15"/>
  <c r="Y16" i="15"/>
  <c r="AE16" i="15"/>
  <c r="Q16" i="15"/>
  <c r="AG16" i="15"/>
  <c r="O16" i="15"/>
  <c r="AI56" i="15"/>
  <c r="A36" i="15"/>
  <c r="AF56" i="15"/>
  <c r="AE56" i="15"/>
  <c r="X56" i="15"/>
  <c r="W56" i="15"/>
  <c r="P56" i="15"/>
  <c r="O56" i="15"/>
  <c r="AD56" i="15"/>
  <c r="V56" i="15"/>
  <c r="N56" i="15"/>
  <c r="I13" i="15"/>
  <c r="J36" i="15"/>
  <c r="AC56" i="15"/>
  <c r="U56" i="15"/>
  <c r="M56" i="15"/>
  <c r="I15" i="15"/>
  <c r="I36" i="15"/>
  <c r="AB56" i="15"/>
  <c r="T56" i="15"/>
  <c r="L56" i="15"/>
  <c r="AA56" i="15"/>
  <c r="S56" i="15"/>
  <c r="K56" i="15"/>
  <c r="AH56" i="15"/>
  <c r="Z56" i="15"/>
  <c r="R56" i="15"/>
  <c r="J56" i="15"/>
  <c r="AG56" i="15"/>
  <c r="Y56" i="15"/>
  <c r="Q56" i="15"/>
  <c r="I9" i="15"/>
  <c r="R58" i="15"/>
  <c r="I11" i="15"/>
  <c r="O58" i="15"/>
  <c r="I16" i="15"/>
  <c r="I10" i="15"/>
  <c r="I12" i="15"/>
  <c r="I14" i="15"/>
  <c r="I17" i="15"/>
  <c r="O52" i="15"/>
  <c r="K53" i="15"/>
  <c r="AH52" i="15"/>
  <c r="L52" i="15"/>
  <c r="I52" i="15"/>
  <c r="Y55" i="15"/>
  <c r="W55" i="15"/>
  <c r="M51" i="15"/>
  <c r="AA48" i="15"/>
  <c r="AC54" i="15"/>
  <c r="AH49" i="15"/>
  <c r="X48" i="15"/>
  <c r="AG53" i="15"/>
  <c r="I54" i="15"/>
  <c r="AD53" i="15"/>
  <c r="P48" i="15"/>
  <c r="AC58" i="15"/>
  <c r="P57" i="15"/>
  <c r="O55" i="15"/>
  <c r="R54" i="15"/>
  <c r="V53" i="15"/>
  <c r="Z52" i="15"/>
  <c r="AC51" i="15"/>
  <c r="Z49" i="15"/>
  <c r="J48" i="15"/>
  <c r="M48" i="15"/>
  <c r="Z58" i="15"/>
  <c r="AG55" i="15"/>
  <c r="L55" i="15"/>
  <c r="P54" i="15"/>
  <c r="S53" i="15"/>
  <c r="W52" i="15"/>
  <c r="X51" i="15"/>
  <c r="W49" i="15"/>
  <c r="AF48" i="15"/>
  <c r="K48" i="15"/>
  <c r="W58" i="15"/>
  <c r="AE55" i="15"/>
  <c r="AH54" i="15"/>
  <c r="M54" i="15"/>
  <c r="Q53" i="15"/>
  <c r="T52" i="15"/>
  <c r="U51" i="15"/>
  <c r="U49" i="15"/>
  <c r="Z54" i="15"/>
  <c r="AC48" i="15"/>
  <c r="I58" i="15"/>
  <c r="U58" i="15"/>
  <c r="AB55" i="15"/>
  <c r="AF54" i="15"/>
  <c r="J54" i="15"/>
  <c r="N53" i="15"/>
  <c r="R52" i="15"/>
  <c r="P51" i="15"/>
  <c r="R49" i="15"/>
  <c r="O49" i="15"/>
  <c r="M49" i="15"/>
  <c r="U48" i="15"/>
  <c r="AH58" i="15"/>
  <c r="M58" i="15"/>
  <c r="T55" i="15"/>
  <c r="X54" i="15"/>
  <c r="AA53" i="15"/>
  <c r="AE52" i="15"/>
  <c r="J52" i="15"/>
  <c r="AE49" i="15"/>
  <c r="J49" i="15"/>
  <c r="S48" i="15"/>
  <c r="AE58" i="15"/>
  <c r="J58" i="15"/>
  <c r="Q55" i="15"/>
  <c r="U54" i="15"/>
  <c r="Y53" i="15"/>
  <c r="AB52" i="15"/>
  <c r="AF51" i="15"/>
  <c r="AC49" i="15"/>
  <c r="M50" i="15"/>
  <c r="U50" i="15"/>
  <c r="AC50" i="15"/>
  <c r="N50" i="15"/>
  <c r="AD50" i="15"/>
  <c r="O50" i="15"/>
  <c r="W50" i="15"/>
  <c r="AE50" i="15"/>
  <c r="Q50" i="15"/>
  <c r="P50" i="15"/>
  <c r="X50" i="15"/>
  <c r="AF50" i="15"/>
  <c r="Y50" i="15"/>
  <c r="AG50" i="15"/>
  <c r="J50" i="15"/>
  <c r="R50" i="15"/>
  <c r="Z50" i="15"/>
  <c r="AH50" i="15"/>
  <c r="I50" i="15"/>
  <c r="V50" i="15"/>
  <c r="K50" i="15"/>
  <c r="S50" i="15"/>
  <c r="AA50" i="15"/>
  <c r="L50" i="15"/>
  <c r="T50" i="15"/>
  <c r="AB50" i="15"/>
  <c r="O57" i="15"/>
  <c r="W57" i="15"/>
  <c r="AE57" i="15"/>
  <c r="Q57" i="15"/>
  <c r="Y57" i="15"/>
  <c r="AG57" i="15"/>
  <c r="S57" i="15"/>
  <c r="J57" i="15"/>
  <c r="R57" i="15"/>
  <c r="Z57" i="15"/>
  <c r="AH57" i="15"/>
  <c r="I57" i="15"/>
  <c r="K57" i="15"/>
  <c r="AA57" i="15"/>
  <c r="L57" i="15"/>
  <c r="T57" i="15"/>
  <c r="AB57" i="15"/>
  <c r="N57" i="15"/>
  <c r="AD57" i="15"/>
  <c r="M57" i="15"/>
  <c r="U57" i="15"/>
  <c r="AC57" i="15"/>
  <c r="V57" i="15"/>
  <c r="X57" i="15"/>
  <c r="AA51" i="15"/>
  <c r="K51" i="15"/>
  <c r="AH48" i="15"/>
  <c r="Z48" i="15"/>
  <c r="R48" i="15"/>
  <c r="I51" i="15"/>
  <c r="AB58" i="15"/>
  <c r="T58" i="15"/>
  <c r="L58" i="15"/>
  <c r="AD55" i="15"/>
  <c r="V55" i="15"/>
  <c r="N55" i="15"/>
  <c r="AE54" i="15"/>
  <c r="W54" i="15"/>
  <c r="O54" i="15"/>
  <c r="AF53" i="15"/>
  <c r="X53" i="15"/>
  <c r="P53" i="15"/>
  <c r="AG52" i="15"/>
  <c r="Y52" i="15"/>
  <c r="Q52" i="15"/>
  <c r="AH51" i="15"/>
  <c r="Z51" i="15"/>
  <c r="R51" i="15"/>
  <c r="J51" i="15"/>
  <c r="AB49" i="15"/>
  <c r="T49" i="15"/>
  <c r="L49" i="15"/>
  <c r="S51" i="15"/>
  <c r="AG48" i="15"/>
  <c r="Y48" i="15"/>
  <c r="Q48" i="15"/>
  <c r="I49" i="15"/>
  <c r="AA58" i="15"/>
  <c r="S58" i="15"/>
  <c r="K58" i="15"/>
  <c r="AC55" i="15"/>
  <c r="U55" i="15"/>
  <c r="M55" i="15"/>
  <c r="AD54" i="15"/>
  <c r="V54" i="15"/>
  <c r="N54" i="15"/>
  <c r="AE53" i="15"/>
  <c r="W53" i="15"/>
  <c r="O53" i="15"/>
  <c r="AF52" i="15"/>
  <c r="X52" i="15"/>
  <c r="P52" i="15"/>
  <c r="AG51" i="15"/>
  <c r="Y51" i="15"/>
  <c r="Q51" i="15"/>
  <c r="AA49" i="15"/>
  <c r="S49" i="15"/>
  <c r="K49" i="15"/>
  <c r="AE48" i="15"/>
  <c r="W48" i="15"/>
  <c r="O48" i="15"/>
  <c r="AG58" i="15"/>
  <c r="Y58" i="15"/>
  <c r="Q58" i="15"/>
  <c r="AA55" i="15"/>
  <c r="S55" i="15"/>
  <c r="K55" i="15"/>
  <c r="AB54" i="15"/>
  <c r="T54" i="15"/>
  <c r="L54" i="15"/>
  <c r="AC53" i="15"/>
  <c r="U53" i="15"/>
  <c r="M53" i="15"/>
  <c r="AD52" i="15"/>
  <c r="V52" i="15"/>
  <c r="N52" i="15"/>
  <c r="AE51" i="15"/>
  <c r="W51" i="15"/>
  <c r="O51" i="15"/>
  <c r="AG49" i="15"/>
  <c r="Y49" i="15"/>
  <c r="Q49" i="15"/>
  <c r="AD48" i="15"/>
  <c r="V48" i="15"/>
  <c r="N48" i="15"/>
  <c r="I55" i="15"/>
  <c r="AF58" i="15"/>
  <c r="X58" i="15"/>
  <c r="P58" i="15"/>
  <c r="AH55" i="15"/>
  <c r="Z55" i="15"/>
  <c r="R55" i="15"/>
  <c r="J55" i="15"/>
  <c r="AA54" i="15"/>
  <c r="S54" i="15"/>
  <c r="K54" i="15"/>
  <c r="AB53" i="15"/>
  <c r="T53" i="15"/>
  <c r="L53" i="15"/>
  <c r="AC52" i="15"/>
  <c r="U52" i="15"/>
  <c r="M52" i="15"/>
  <c r="AD51" i="15"/>
  <c r="V51" i="15"/>
  <c r="N51" i="15"/>
  <c r="AF49" i="15"/>
  <c r="X49" i="15"/>
  <c r="P49" i="15"/>
  <c r="AB48" i="15"/>
  <c r="T48" i="15"/>
  <c r="I53" i="15"/>
  <c r="AD58" i="15"/>
  <c r="V58" i="15"/>
  <c r="AF55" i="15"/>
  <c r="X55" i="15"/>
  <c r="AG54" i="15"/>
  <c r="Y54" i="15"/>
  <c r="AH53" i="15"/>
  <c r="Z53" i="15"/>
  <c r="R53" i="15"/>
  <c r="AA52" i="15"/>
  <c r="S52" i="15"/>
  <c r="AB51" i="15"/>
  <c r="T51" i="15"/>
  <c r="AD49" i="15"/>
  <c r="V4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T10" i="23" l="1"/>
  <c r="T21" i="23"/>
  <c r="T9" i="23"/>
  <c r="T20" i="23"/>
  <c r="T7" i="23"/>
  <c r="T11" i="23"/>
  <c r="T22" i="23"/>
  <c r="T24" i="23"/>
  <c r="T13" i="23"/>
  <c r="T5" i="23"/>
  <c r="T12" i="23"/>
  <c r="T19" i="23"/>
  <c r="T8" i="23"/>
  <c r="T25" i="23"/>
  <c r="T4" i="23"/>
  <c r="T15" i="23"/>
  <c r="W23" i="23"/>
  <c r="W12" i="23"/>
  <c r="W10" i="23"/>
  <c r="W21" i="23"/>
  <c r="W13" i="23"/>
  <c r="W24" i="23"/>
  <c r="W25" i="23"/>
  <c r="W5" i="23"/>
  <c r="W16" i="23"/>
  <c r="W9" i="23"/>
  <c r="W20" i="23"/>
  <c r="W19" i="23"/>
  <c r="W8" i="23"/>
  <c r="W22" i="23"/>
  <c r="W11" i="23"/>
  <c r="W4" i="23"/>
  <c r="W15" i="23"/>
  <c r="W18" i="23"/>
  <c r="W7" i="23"/>
  <c r="V25" i="23"/>
  <c r="V7" i="23"/>
  <c r="V18" i="23"/>
  <c r="V22" i="23"/>
  <c r="V11" i="23"/>
  <c r="V12" i="23"/>
  <c r="V23" i="23"/>
  <c r="V24" i="23"/>
  <c r="V13" i="23"/>
  <c r="V9" i="23"/>
  <c r="V20" i="23"/>
  <c r="V21" i="23"/>
  <c r="V10" i="23"/>
  <c r="V4" i="23"/>
  <c r="V15" i="23"/>
  <c r="V8" i="23"/>
  <c r="V19" i="23"/>
  <c r="V5" i="23"/>
  <c r="V16" i="23"/>
  <c r="AI15" i="15"/>
  <c r="A15" i="15" s="1"/>
  <c r="AI80" i="15"/>
  <c r="A56" i="15"/>
  <c r="I6" i="23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T17" i="23" l="1"/>
  <c r="T6" i="23"/>
  <c r="W12" i="14"/>
  <c r="W24" i="14"/>
  <c r="W13" i="8"/>
  <c r="W24" i="8"/>
  <c r="W13" i="14"/>
  <c r="W25" i="14"/>
  <c r="W6" i="23"/>
  <c r="W17" i="23"/>
  <c r="W8" i="14"/>
  <c r="W20" i="14"/>
  <c r="W26" i="14"/>
  <c r="W14" i="14"/>
  <c r="W25" i="8"/>
  <c r="W14" i="8"/>
  <c r="W15" i="14"/>
  <c r="W27" i="14"/>
  <c r="W19" i="14"/>
  <c r="W7" i="14"/>
  <c r="W23" i="8"/>
  <c r="W12" i="8"/>
  <c r="W4" i="8"/>
  <c r="W15" i="8"/>
  <c r="W5" i="8"/>
  <c r="W16" i="8"/>
  <c r="W22" i="14"/>
  <c r="W10" i="14"/>
  <c r="W6" i="8"/>
  <c r="W17" i="8"/>
  <c r="W19" i="8"/>
  <c r="W8" i="8"/>
  <c r="W10" i="8"/>
  <c r="W21" i="8"/>
  <c r="W5" i="14"/>
  <c r="W17" i="14"/>
  <c r="W11" i="8"/>
  <c r="W22" i="8"/>
  <c r="W18" i="14"/>
  <c r="W6" i="14"/>
  <c r="V15" i="14"/>
  <c r="V27" i="14"/>
  <c r="V26" i="14"/>
  <c r="V14" i="14"/>
  <c r="V5" i="14"/>
  <c r="V17" i="14"/>
  <c r="V6" i="23"/>
  <c r="V17" i="23"/>
  <c r="V6" i="14"/>
  <c r="V18" i="14"/>
  <c r="V7" i="14"/>
  <c r="V19" i="14"/>
  <c r="V8" i="14"/>
  <c r="V20" i="14"/>
  <c r="V9" i="14"/>
  <c r="V21" i="14"/>
  <c r="V22" i="14"/>
  <c r="V10" i="14"/>
  <c r="V11" i="14"/>
  <c r="V23" i="14"/>
  <c r="V24" i="14"/>
  <c r="V12" i="14"/>
  <c r="V25" i="14"/>
  <c r="V13" i="14"/>
  <c r="A80" i="15"/>
  <c r="A105" i="15" s="1"/>
  <c r="AI105" i="15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X28" i="11" l="1"/>
  <c r="AB8" i="11"/>
  <c r="AB26" i="11"/>
  <c r="AB72" i="11" s="1"/>
  <c r="AQ30" i="11"/>
  <c r="AQ29" i="11" s="1"/>
  <c r="C29" i="11"/>
  <c r="C72" i="11" s="1"/>
  <c r="AQ7" i="11"/>
  <c r="AQ22" i="11"/>
  <c r="AQ21" i="11" s="1"/>
  <c r="X27" i="11" l="1"/>
  <c r="L28" i="11"/>
  <c r="AQ26" i="11"/>
  <c r="AQ28" i="11" l="1"/>
  <c r="AQ27" i="11" s="1"/>
  <c r="L27" i="11"/>
  <c r="X8" i="11"/>
  <c r="X72" i="11"/>
  <c r="L8" i="11" l="1"/>
  <c r="AQ8" i="11" s="1"/>
  <c r="L72" i="11"/>
  <c r="AQ72" i="11" s="1"/>
  <c r="J26" i="15" l="1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I26" i="15"/>
  <c r="H26" i="15"/>
  <c r="C13" i="16"/>
  <c r="D28" i="16"/>
  <c r="D38" i="16"/>
  <c r="AI28" i="15"/>
  <c r="AI29" i="15"/>
  <c r="AI30" i="15"/>
  <c r="AI31" i="15"/>
  <c r="AI32" i="15"/>
  <c r="AI33" i="15"/>
  <c r="AI34" i="15"/>
  <c r="AI35" i="15"/>
  <c r="AI37" i="15"/>
  <c r="AI38" i="15"/>
  <c r="AI55" i="15" l="1"/>
  <c r="A35" i="15"/>
  <c r="AI49" i="15"/>
  <c r="A29" i="15"/>
  <c r="AI57" i="15"/>
  <c r="AI16" i="15" s="1"/>
  <c r="A16" i="15" s="1"/>
  <c r="A37" i="15"/>
  <c r="L37" i="15"/>
  <c r="T37" i="15"/>
  <c r="AB37" i="15"/>
  <c r="M37" i="15"/>
  <c r="U37" i="15"/>
  <c r="AC37" i="15"/>
  <c r="P37" i="15"/>
  <c r="Z37" i="15"/>
  <c r="Q37" i="15"/>
  <c r="AA37" i="15"/>
  <c r="R37" i="15"/>
  <c r="AD37" i="15"/>
  <c r="S37" i="15"/>
  <c r="AE37" i="15"/>
  <c r="V37" i="15"/>
  <c r="AF37" i="15"/>
  <c r="N37" i="15"/>
  <c r="X37" i="15"/>
  <c r="AH37" i="15"/>
  <c r="Y37" i="15"/>
  <c r="AG37" i="15"/>
  <c r="W37" i="15"/>
  <c r="K37" i="15"/>
  <c r="O37" i="15"/>
  <c r="AI48" i="15"/>
  <c r="A28" i="15"/>
  <c r="AI54" i="15"/>
  <c r="A34" i="15"/>
  <c r="AI53" i="15"/>
  <c r="A33" i="15"/>
  <c r="AI52" i="15"/>
  <c r="A32" i="15"/>
  <c r="AI51" i="15"/>
  <c r="A31" i="15"/>
  <c r="AI58" i="15"/>
  <c r="A38" i="15"/>
  <c r="AI50" i="15"/>
  <c r="A30" i="15"/>
  <c r="J37" i="15"/>
  <c r="I37" i="15"/>
  <c r="J32" i="15"/>
  <c r="I32" i="15"/>
  <c r="I28" i="15"/>
  <c r="J28" i="15"/>
  <c r="I35" i="15"/>
  <c r="J35" i="15"/>
  <c r="I31" i="15"/>
  <c r="J31" i="15"/>
  <c r="I34" i="15"/>
  <c r="J34" i="15"/>
  <c r="I30" i="15"/>
  <c r="J30" i="15"/>
  <c r="I38" i="15"/>
  <c r="J38" i="15"/>
  <c r="I33" i="15"/>
  <c r="J33" i="15"/>
  <c r="I29" i="15"/>
  <c r="J2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T12" i="14" l="1"/>
  <c r="T24" i="14"/>
  <c r="T8" i="14"/>
  <c r="T20" i="14"/>
  <c r="T22" i="14"/>
  <c r="T10" i="14"/>
  <c r="T18" i="14"/>
  <c r="T6" i="14"/>
  <c r="T11" i="14"/>
  <c r="T13" i="14"/>
  <c r="T25" i="14"/>
  <c r="T17" i="14"/>
  <c r="T5" i="14"/>
  <c r="T14" i="14"/>
  <c r="T26" i="14"/>
  <c r="T9" i="14"/>
  <c r="T21" i="14"/>
  <c r="T15" i="14"/>
  <c r="T27" i="14"/>
  <c r="AI10" i="15"/>
  <c r="A10" i="15" s="1"/>
  <c r="AI75" i="15"/>
  <c r="A51" i="15"/>
  <c r="AI7" i="15"/>
  <c r="A7" i="15" s="1"/>
  <c r="AI72" i="15"/>
  <c r="A48" i="15"/>
  <c r="AI11" i="15"/>
  <c r="A11" i="15" s="1"/>
  <c r="A52" i="15"/>
  <c r="AI76" i="15"/>
  <c r="A57" i="15"/>
  <c r="AI81" i="15"/>
  <c r="AI9" i="15"/>
  <c r="A9" i="15" s="1"/>
  <c r="AI74" i="15"/>
  <c r="A50" i="15"/>
  <c r="AI12" i="15"/>
  <c r="A12" i="15" s="1"/>
  <c r="A53" i="15"/>
  <c r="AI77" i="15"/>
  <c r="AI8" i="15"/>
  <c r="A8" i="15" s="1"/>
  <c r="A49" i="15"/>
  <c r="AI73" i="15"/>
  <c r="AI17" i="15"/>
  <c r="A17" i="15" s="1"/>
  <c r="AI82" i="15"/>
  <c r="A58" i="15"/>
  <c r="AI13" i="15"/>
  <c r="A13" i="15" s="1"/>
  <c r="AI78" i="15"/>
  <c r="A54" i="15"/>
  <c r="AI14" i="15"/>
  <c r="A14" i="15" s="1"/>
  <c r="A55" i="15"/>
  <c r="AI79" i="15"/>
  <c r="E15" i="14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T8" i="8" l="1"/>
  <c r="T19" i="8"/>
  <c r="T13" i="8"/>
  <c r="T24" i="8"/>
  <c r="T23" i="8"/>
  <c r="T12" i="8"/>
  <c r="T14" i="8"/>
  <c r="T25" i="8"/>
  <c r="T6" i="8"/>
  <c r="T17" i="8"/>
  <c r="T22" i="8"/>
  <c r="T11" i="8"/>
  <c r="T4" i="8"/>
  <c r="T15" i="8"/>
  <c r="T21" i="8"/>
  <c r="T10" i="8"/>
  <c r="T5" i="8"/>
  <c r="T16" i="8"/>
  <c r="V17" i="8"/>
  <c r="V6" i="8"/>
  <c r="V21" i="8"/>
  <c r="V10" i="8"/>
  <c r="V4" i="8"/>
  <c r="V15" i="8"/>
  <c r="V23" i="8"/>
  <c r="V12" i="8"/>
  <c r="V19" i="8"/>
  <c r="V8" i="8"/>
  <c r="V24" i="8"/>
  <c r="V13" i="8"/>
  <c r="V5" i="8"/>
  <c r="V16" i="8"/>
  <c r="V11" i="8"/>
  <c r="V22" i="8"/>
  <c r="V14" i="8"/>
  <c r="V25" i="8"/>
  <c r="A82" i="15"/>
  <c r="A107" i="15" s="1"/>
  <c r="AI107" i="15"/>
  <c r="A74" i="15"/>
  <c r="A99" i="15" s="1"/>
  <c r="AI99" i="15"/>
  <c r="A72" i="15"/>
  <c r="A97" i="15" s="1"/>
  <c r="AI97" i="15"/>
  <c r="A73" i="15"/>
  <c r="A98" i="15" s="1"/>
  <c r="AI98" i="15"/>
  <c r="A81" i="15"/>
  <c r="A106" i="15" s="1"/>
  <c r="AI106" i="15"/>
  <c r="A79" i="15"/>
  <c r="A104" i="15" s="1"/>
  <c r="AI104" i="15"/>
  <c r="A75" i="15"/>
  <c r="A100" i="15" s="1"/>
  <c r="AI100" i="15"/>
  <c r="A78" i="15"/>
  <c r="A103" i="15" s="1"/>
  <c r="AI103" i="15"/>
  <c r="A77" i="15"/>
  <c r="A102" i="15" s="1"/>
  <c r="AI102" i="15"/>
  <c r="A76" i="15"/>
  <c r="A101" i="15" s="1"/>
  <c r="AI101" i="15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2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69" authorId="0" shapeId="0" xr:uid="{72E72DF2-CA23-4F60-809E-4B45BD2639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94" authorId="0" shapeId="0" xr:uid="{AEFE8BDA-7998-4626-882B-8EB93ED5E95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</author>
  </authors>
  <commentList>
    <comment ref="G18" authorId="0" shapeId="0" xr:uid="{F7E0DD83-690D-479C-849C-87F22975B20F}">
      <text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<sst xmlns="http://schemas.openxmlformats.org/spreadsheetml/2006/main" count="2469" uniqueCount="593">
  <si>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</si>
  <si>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</si>
  <si>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</si>
  <si>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</si>
  <si>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</si>
  <si>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</si>
  <si>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</si>
  <si>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</si>
  <si>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</si>
  <si>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</si>
  <si>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</si>
  <si>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</si>
  <si>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</si>
  <si>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</si>
  <si>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</si>
  <si>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</si>
  <si>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</si>
  <si>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</si>
  <si>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</si>
  <si>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</si>
  <si>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</si>
  <si>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</si>
  <si>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</si>
  <si>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</si>
  <si>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</si>
  <si>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</si>
  <si>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</si>
  <si>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</si>
  <si>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</si>
  <si>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</si>
  <si>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</si>
  <si>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</si>
  <si>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</si>
  <si>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</si>
  <si>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</si>
  <si>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</si>
  <si>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</si>
  <si>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</si>
  <si>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</si>
  <si>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</si>
  <si>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</si>
  <si>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</si>
  <si>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</si>
  <si>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</si>
  <si>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</si>
  <si>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</si>
  <si>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</si>
  <si>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</si>
  <si>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</si>
  <si>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</si>
  <si>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</si>
  <si>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</si>
  <si>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</si>
  <si>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</si>
  <si>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</si>
  <si>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</si>
  <si>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</si>
  <si>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</si>
  <si>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</si>
  <si>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</si>
  <si>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</si>
  <si>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</si>
  <si>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</si>
  <si>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</si>
  <si>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</si>
  <si>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</si>
  <si>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</si>
  <si>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</si>
  <si>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</si>
  <si>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</si>
  <si>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</si>
  <si>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</si>
  <si>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</si>
  <si>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</si>
  <si>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</si>
  <si>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</si>
  <si>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</si>
  <si>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</si>
  <si>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</si>
  <si>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</si>
  <si>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</si>
  <si>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</si>
  <si>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</si>
  <si>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</si>
  <si>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</si>
  <si>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</si>
  <si>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</si>
  <si>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</si>
  <si>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</si>
  <si>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</si>
  <si>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</si>
  <si>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</si>
  <si>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</si>
  <si>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</si>
  <si>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</si>
  <si>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</si>
  <si>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</si>
  <si>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</si>
  <si>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</si>
  <si>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</si>
  <si>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</si>
  <si>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</si>
  <si>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</si>
  <si>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</si>
  <si>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</si>
  <si>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</si>
  <si>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</si>
  <si>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</si>
  <si>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</si>
  <si>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</si>
  <si>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</si>
  <si>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</si>
  <si>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</si>
  <si>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</si>
  <si>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</si>
  <si>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</si>
  <si>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</si>
  <si>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</si>
  <si>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</si>
  <si>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</si>
  <si>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</si>
  <si>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</si>
  <si>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</si>
  <si>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</si>
  <si>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</si>
  <si>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</si>
  <si>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</si>
  <si>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</si>
  <si>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</si>
  <si>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</si>
  <si>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</si>
  <si>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</si>
  <si>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</si>
  <si>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</si>
  <si>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</si>
  <si>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</si>
  <si>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</si>
  <si>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</si>
  <si>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</si>
  <si>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</si>
  <si>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</si>
  <si>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</si>
  <si>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</si>
  <si>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</si>
  <si>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</si>
  <si>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</si>
  <si>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</si>
  <si>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</si>
  <si>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</si>
  <si>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</si>
  <si>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</si>
  <si>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</si>
  <si>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</si>
  <si>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</si>
  <si>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</si>
  <si>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</si>
  <si>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</si>
  <si>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</si>
  <si>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</si>
  <si>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</si>
  <si>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</si>
  <si>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</si>
  <si>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</si>
  <si>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</si>
  <si>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</si>
  <si>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</si>
  <si>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</si>
  <si>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</si>
  <si>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</si>
  <si>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</si>
  <si>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</si>
  <si>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</si>
  <si>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</si>
  <si>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</si>
  <si>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</si>
  <si>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</si>
  <si>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</si>
  <si>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</si>
  <si>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</si>
  <si>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</si>
  <si>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</si>
  <si>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</si>
  <si>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</si>
  <si>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</si>
  <si>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</si>
  <si>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</si>
  <si>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</si>
  <si>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</si>
  <si>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</si>
  <si>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</si>
  <si>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</si>
  <si>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</si>
  <si>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</si>
  <si>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</si>
  <si>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</si>
  <si>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</si>
  <si>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</si>
  <si>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</si>
  <si>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</si>
  <si>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</si>
  <si>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</si>
  <si>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</si>
  <si>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</si>
  <si>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</si>
  <si>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</si>
  <si>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</si>
  <si>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</si>
  <si>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</si>
  <si>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</si>
  <si>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</si>
  <si>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</si>
  <si>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</si>
  <si>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</si>
  <si>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</si>
  <si>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</si>
  <si>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</si>
  <si>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</si>
  <si>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</si>
  <si>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</si>
  <si>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</si>
  <si>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</si>
  <si>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</si>
  <si>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</si>
  <si>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</si>
  <si>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</si>
  <si>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</si>
  <si>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</si>
  <si>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</si>
  <si>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</si>
  <si>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</si>
  <si>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</si>
  <si>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</si>
  <si>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</si>
  <si>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</si>
  <si>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</si>
  <si>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</si>
  <si>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</si>
  <si>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</si>
  <si>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</si>
  <si>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</si>
  <si>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</si>
  <si>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</si>
  <si>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</si>
  <si>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</si>
  <si>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</si>
  <si>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</si>
  <si>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</si>
  <si>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</si>
  <si>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</si>
  <si>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</si>
  <si>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</si>
  <si>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</si>
  <si>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</si>
  <si>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</si>
  <si>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</si>
  <si>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</si>
  <si>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</si>
  <si>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</si>
  <si>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</si>
  <si>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</si>
  <si>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</si>
  <si>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</si>
  <si>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</si>
  <si>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</si>
  <si>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</si>
  <si>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</si>
  <si>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</si>
  <si>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</si>
  <si>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</si>
  <si>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</si>
  <si>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</si>
  <si>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</si>
  <si>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</si>
  <si>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</si>
  <si>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</si>
  <si>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</si>
  <si>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</si>
  <si>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</si>
  <si>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</si>
  <si>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</si>
  <si>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</si>
  <si>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</si>
  <si>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</si>
  <si>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</si>
  <si>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</si>
  <si>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</si>
  <si>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</si>
  <si>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</si>
  <si>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</si>
  <si>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</si>
  <si>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</si>
  <si>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</si>
  <si>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</si>
  <si>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</si>
  <si>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</si>
  <si>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</si>
  <si>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</si>
  <si>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</si>
  <si>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</si>
  <si>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</si>
  <si>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</si>
  <si>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</si>
  <si>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</si>
  <si>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</si>
  <si>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</si>
  <si>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</si>
  <si>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</si>
  <si>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</si>
  <si>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</si>
  <si>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</si>
  <si>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</si>
  <si>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</si>
  <si>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</si>
  <si>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</si>
  <si>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</si>
  <si>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</si>
  <si>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</si>
  <si>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</si>
  <si>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</si>
  <si>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</si>
  <si>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</si>
  <si>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</si>
  <si>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</si>
  <si>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</si>
  <si>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</si>
  <si>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</si>
  <si>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</si>
  <si>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</si>
  <si>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</si>
  <si>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</si>
  <si>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</si>
  <si>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</si>
  <si>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</si>
  <si>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</si>
  <si>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</si>
  <si>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</si>
  <si>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</si>
  <si>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</si>
  <si>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</si>
  <si>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</si>
  <si>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</si>
  <si>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</si>
  <si>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</si>
  <si>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</si>
  <si>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</si>
  <si>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</si>
  <si>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</si>
  <si>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</si>
  <si>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</si>
  <si>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</si>
  <si>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</si>
  <si>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</si>
  <si>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</si>
  <si>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</si>
  <si>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</si>
  <si>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</si>
  <si>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</si>
  <si>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</si>
  <si>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</si>
  <si>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</si>
  <si>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</si>
  <si>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</si>
  <si>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</si>
  <si>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</si>
  <si>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</si>
  <si>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</si>
  <si>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</si>
  <si>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</si>
  <si>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</si>
  <si>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</si>
  <si>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</si>
  <si>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</si>
  <si>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</si>
  <si>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</si>
  <si>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</si>
  <si>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</si>
  <si>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</si>
  <si>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</si>
  <si>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</si>
  <si>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</si>
  <si>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</si>
  <si>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</si>
  <si>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</si>
  <si>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</si>
  <si>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</si>
  <si>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</si>
  <si>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</si>
  <si>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</si>
  <si>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</si>
  <si>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</si>
  <si>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</si>
  <si>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</si>
  <si>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</si>
  <si>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</si>
  <si>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</si>
  <si>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</si>
  <si>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</si>
  <si>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</si>
  <si>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</si>
  <si>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</si>
  <si>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</si>
  <si>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</si>
  <si>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</si>
  <si>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</si>
  <si>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</si>
  <si>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</si>
  <si>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</si>
  <si>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</si>
  <si>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</si>
  <si>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</si>
  <si>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</si>
  <si>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</si>
  <si>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</si>
  <si>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</si>
  <si>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</si>
  <si>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</si>
  <si>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</si>
  <si>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</si>
  <si>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</si>
  <si>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</si>
  <si>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</si>
  <si>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</si>
  <si>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</si>
  <si>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</si>
  <si>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</si>
  <si>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</si>
  <si>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</si>
  <si>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</si>
  <si>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</si>
  <si>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</si>
  <si>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</si>
  <si>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</si>
  <si>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</si>
  <si>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</si>
  <si>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</si>
  <si>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</si>
  <si>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</si>
  <si>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</si>
  <si>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</si>
  <si>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</si>
  <si>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</si>
  <si>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</si>
  <si>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</si>
  <si>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</si>
  <si>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</si>
  <si>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</si>
  <si>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</si>
  <si>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</si>
  <si>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</si>
  <si>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</si>
  <si>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</si>
  <si>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</si>
  <si>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</si>
  <si>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</si>
  <si>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</si>
  <si>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</si>
  <si>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</si>
  <si>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</si>
  <si>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</si>
  <si>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</si>
  <si>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</si>
  <si>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</si>
  <si>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</si>
  <si>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</si>
  <si>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</si>
  <si>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</si>
  <si>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</si>
  <si>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</si>
  <si>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</si>
  <si>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</si>
  <si>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</si>
  <si>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</si>
  <si>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</si>
  <si>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</si>
  <si>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</si>
  <si>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</si>
  <si>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</si>
  <si>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</si>
  <si>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</si>
  <si>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</si>
  <si>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</si>
  <si>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</si>
  <si>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</si>
  <si>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</si>
  <si>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</si>
  <si>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</si>
  <si>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</si>
  <si>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</si>
  <si>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</si>
  <si>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</si>
  <si>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</si>
  <si>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</si>
  <si>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</si>
  <si>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</si>
  <si>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</si>
  <si>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</si>
  <si>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</si>
  <si>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</si>
  <si>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</si>
  <si>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</si>
  <si>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</si>
  <si>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</si>
  <si>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</si>
  <si>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</si>
  <si>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</si>
  <si>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</si>
  <si>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</si>
  <si>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</si>
  <si>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</si>
  <si>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</si>
  <si>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</si>
  <si>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</si>
  <si>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</si>
  <si>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</si>
  <si>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</si>
  <si>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</si>
  <si>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</si>
  <si>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</si>
  <si>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</si>
  <si>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</si>
  <si>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</si>
  <si>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</si>
  <si>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</si>
  <si>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</si>
  <si>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</si>
  <si>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</si>
  <si>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</si>
  <si>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</si>
  <si>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</si>
  <si>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</si>
  <si>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</si>
  <si>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</si>
  <si>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</si>
  <si>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</si>
  <si>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</si>
  <si>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</si>
  <si>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</si>
  <si>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</si>
  <si>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</si>
  <si>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</si>
  <si>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</si>
  <si>
    <t xml:space="preserve">2022                        Units = ktoe
</t>
  </si>
  <si>
    <t>*Industry &amp; Services sub-sectoral breakdown is based on the BEUS 2021.</t>
  </si>
  <si>
    <t>Last Updated : 16th August 2023</t>
  </si>
  <si>
    <t>2022 provisional data</t>
  </si>
  <si>
    <t>2022 provisional data based on 2021 breakdown</t>
  </si>
  <si>
    <t>2021 data</t>
  </si>
  <si>
    <t>IE,National</t>
  </si>
  <si>
    <t>STATISTIC Label</t>
  </si>
  <si>
    <t>Taxation Class</t>
  </si>
  <si>
    <t>Type of Fuel</t>
  </si>
  <si>
    <t>UNIT</t>
  </si>
  <si>
    <t>VALUE</t>
  </si>
  <si>
    <t>New and Secondhand Vehicles</t>
  </si>
  <si>
    <t>2018</t>
  </si>
  <si>
    <t>New Private Cars</t>
  </si>
  <si>
    <t>Number</t>
  </si>
  <si>
    <t>Other fuel types</t>
  </si>
  <si>
    <t>Hybrid</t>
  </si>
  <si>
    <t>2019</t>
  </si>
  <si>
    <t>2020</t>
  </si>
  <si>
    <t>2021</t>
  </si>
  <si>
    <t>2022</t>
  </si>
  <si>
    <t>Source: CSO</t>
  </si>
  <si>
    <t>NCAP for new vehicles according to actual sales in 2022</t>
  </si>
  <si>
    <t>Provisional</t>
  </si>
  <si>
    <t>NCAP for new vehicles according to actual sales in 2023</t>
  </si>
  <si>
    <t>Statistic Label</t>
  </si>
  <si>
    <t>Goods Vehicle Make</t>
  </si>
  <si>
    <t>Unladen Weight kg</t>
  </si>
  <si>
    <t>Licensing Authority</t>
  </si>
  <si>
    <t>New Goods Vehicles</t>
  </si>
  <si>
    <t>All makes</t>
  </si>
  <si>
    <t>All unladen weight size groups per kg</t>
  </si>
  <si>
    <t>All licensing authorities</t>
  </si>
  <si>
    <t>Up to 812 kgs</t>
  </si>
  <si>
    <t>813 to 1016 kgs</t>
  </si>
  <si>
    <t>1017 to 1269 kgs</t>
  </si>
  <si>
    <t>1270 to 1524 kgs</t>
  </si>
  <si>
    <t>1525 to 2032 kgs</t>
  </si>
  <si>
    <t>2033 to 4064 kgs</t>
  </si>
  <si>
    <t>4065 to 8128 kgs</t>
  </si>
  <si>
    <t>8129 kgs and over</t>
  </si>
  <si>
    <t>TOTCO2</t>
  </si>
  <si>
    <t>deact~TFM_INS-TS</t>
  </si>
  <si>
    <t>Calibration margin</t>
  </si>
  <si>
    <t>deact~UC_T</t>
  </si>
  <si>
    <t>FT-RSDBGS</t>
  </si>
  <si>
    <t>FT-TRABJK</t>
  </si>
  <si>
    <t>FT-TRACNG</t>
  </si>
  <si>
    <t>FT-TRABNG</t>
  </si>
  <si>
    <t>FT-TRALNG</t>
  </si>
  <si>
    <t>FT-AGRDST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</si>
</sst>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0"/>
      <name val="Arial"/>
    </font>
    <font>
      <sz val="9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9"/>
      <color rgb="FF202124"/>
      <name val="Arial"/>
      <family val="2"/>
    </font>
    <font>
      <b/>
      <sz val="9"/>
      <color indexed="81"/>
      <name val="Tahoma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  <xf numFmtId="0" fontId="37" fillId="0" borderId="0"/>
    <xf numFmtId="49" fontId="38" fillId="0" borderId="4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Border="0"/>
    <xf numFmtId="0" fontId="3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45" fillId="0" borderId="168" applyNumberFormat="0" applyFill="0" applyAlignment="0" applyProtection="0">
      <alignment vertical="center"/>
    </xf>
    <xf numFmtId="0" fontId="46" fillId="0" borderId="169" applyNumberFormat="0" applyFill="0" applyAlignment="0" applyProtection="0">
      <alignment vertical="center"/>
    </xf>
    <xf numFmtId="0" fontId="47" fillId="0" borderId="17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171" applyNumberFormat="0" applyAlignment="0" applyProtection="0">
      <alignment vertical="center"/>
    </xf>
    <xf numFmtId="0" fontId="52" fillId="27" borderId="172" applyNumberFormat="0" applyAlignment="0" applyProtection="0">
      <alignment vertical="center"/>
    </xf>
    <xf numFmtId="0" fontId="53" fillId="27" borderId="171" applyNumberFormat="0" applyAlignment="0" applyProtection="0">
      <alignment vertical="center"/>
    </xf>
    <xf numFmtId="0" fontId="54" fillId="0" borderId="173" applyNumberFormat="0" applyFill="0" applyAlignment="0" applyProtection="0">
      <alignment vertical="center"/>
    </xf>
    <xf numFmtId="0" fontId="55" fillId="28" borderId="17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75" applyNumberFormat="0" applyFill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</cellStyleXfs>
  <cellXfs count="4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40" fontId="31" fillId="0" borderId="0" xfId="0" applyNumberFormat="1" applyFont="1"/>
    <xf numFmtId="38" fontId="5" fillId="5" borderId="0" xfId="9" applyNumberFormat="1" applyFont="1" applyFill="1" applyAlignment="1">
      <alignment horizontal="left"/>
    </xf>
    <xf numFmtId="2" fontId="0" fillId="0" borderId="1" xfId="0" applyNumberFormat="1" applyBorder="1"/>
    <xf numFmtId="2" fontId="31" fillId="0" borderId="1" xfId="0" applyNumberFormat="1" applyFont="1" applyBorder="1"/>
    <xf numFmtId="0" fontId="39" fillId="22" borderId="157" xfId="13" applyFont="1" applyFill="1" applyBorder="1"/>
    <xf numFmtId="0" fontId="39" fillId="22" borderId="158" xfId="13" applyFont="1" applyFill="1" applyBorder="1"/>
    <xf numFmtId="0" fontId="39" fillId="22" borderId="159" xfId="13" applyFont="1" applyFill="1" applyBorder="1"/>
    <xf numFmtId="0" fontId="40" fillId="21" borderId="160" xfId="13" applyFont="1" applyFill="1" applyBorder="1"/>
    <xf numFmtId="0" fontId="40" fillId="21" borderId="161" xfId="13" applyFont="1" applyFill="1" applyBorder="1"/>
    <xf numFmtId="0" fontId="40" fillId="21" borderId="162" xfId="13" applyFont="1" applyFill="1" applyBorder="1"/>
    <xf numFmtId="0" fontId="39" fillId="22" borderId="160" xfId="13" applyFont="1" applyFill="1" applyBorder="1"/>
    <xf numFmtId="0" fontId="39" fillId="22" borderId="161" xfId="13" applyFont="1" applyFill="1" applyBorder="1"/>
    <xf numFmtId="0" fontId="39" fillId="22" borderId="162" xfId="13" applyFont="1" applyFill="1" applyBorder="1"/>
    <xf numFmtId="0" fontId="39" fillId="0" borderId="160" xfId="13" applyFont="1" applyBorder="1"/>
    <xf numFmtId="0" fontId="39" fillId="0" borderId="161" xfId="13" applyFont="1" applyBorder="1"/>
    <xf numFmtId="0" fontId="39" fillId="0" borderId="162" xfId="13" applyFont="1" applyBorder="1"/>
    <xf numFmtId="169" fontId="36" fillId="0" borderId="0" xfId="1" applyNumberFormat="1" applyFont="1"/>
    <xf numFmtId="169" fontId="36" fillId="0" borderId="1" xfId="1" applyNumberFormat="1" applyFont="1" applyBorder="1"/>
    <xf numFmtId="0" fontId="0" fillId="0" borderId="0" xfId="0" applyAlignment="1">
      <alignment horizontal="left"/>
    </xf>
    <xf numFmtId="0" fontId="42" fillId="0" borderId="0" xfId="0" applyFont="1" applyAlignment="1">
      <alignment horizontal="left" vertical="center" wrapText="1"/>
    </xf>
    <xf numFmtId="0" fontId="39" fillId="0" borderId="163" xfId="13" applyFont="1" applyBorder="1"/>
    <xf numFmtId="169" fontId="36" fillId="0" borderId="1" xfId="0" applyNumberFormat="1" applyFont="1" applyBorder="1"/>
    <xf numFmtId="9" fontId="0" fillId="0" borderId="0" xfId="0" applyNumberFormat="1"/>
    <xf numFmtId="0" fontId="10" fillId="9" borderId="164" xfId="0" applyFont="1" applyFill="1" applyBorder="1" applyAlignment="1">
      <alignment horizontal="center" vertical="center"/>
    </xf>
    <xf numFmtId="0" fontId="0" fillId="0" borderId="48" xfId="0" applyBorder="1"/>
    <xf numFmtId="0" fontId="0" fillId="0" borderId="42" xfId="0" applyBorder="1"/>
    <xf numFmtId="2" fontId="0" fillId="0" borderId="42" xfId="0" applyNumberFormat="1" applyBorder="1"/>
    <xf numFmtId="2" fontId="31" fillId="0" borderId="42" xfId="0" applyNumberFormat="1" applyFont="1" applyBorder="1"/>
    <xf numFmtId="0" fontId="0" fillId="0" borderId="165" xfId="0" applyBorder="1"/>
    <xf numFmtId="0" fontId="0" fillId="0" borderId="84" xfId="0" applyBorder="1"/>
    <xf numFmtId="0" fontId="0" fillId="0" borderId="166" xfId="0" applyBorder="1"/>
    <xf numFmtId="0" fontId="0" fillId="0" borderId="14" xfId="0" applyBorder="1"/>
    <xf numFmtId="0" fontId="0" fillId="0" borderId="12" xfId="0" applyBorder="1"/>
    <xf numFmtId="2" fontId="0" fillId="0" borderId="12" xfId="0" applyNumberFormat="1" applyBorder="1"/>
    <xf numFmtId="2" fontId="31" fillId="0" borderId="12" xfId="0" applyNumberFormat="1" applyFont="1" applyBorder="1"/>
    <xf numFmtId="0" fontId="0" fillId="0" borderId="167" xfId="0" applyBorder="1"/>
    <xf numFmtId="38" fontId="5" fillId="0" borderId="0" xfId="14" applyNumberFormat="1" applyFont="1"/>
    <xf numFmtId="43" fontId="4" fillId="0" borderId="90" xfId="15" applyFont="1" applyFill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10" borderId="32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10" borderId="66" xfId="5" applyNumberFormat="1" applyFont="1" applyFill="1" applyBorder="1" applyAlignment="1">
      <alignment horizontal="center"/>
    </xf>
    <xf numFmtId="38" fontId="5" fillId="10" borderId="123" xfId="5" applyNumberFormat="1" applyFont="1" applyFill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43" fontId="4" fillId="0" borderId="90" xfId="16" applyFont="1" applyFill="1" applyBorder="1" applyAlignment="1">
      <alignment horizontal="center"/>
    </xf>
    <xf numFmtId="168" fontId="2" fillId="0" borderId="0" xfId="0" applyNumberFormat="1" applyFont="1"/>
    <xf numFmtId="168" fontId="2" fillId="0" borderId="1" xfId="0" applyNumberFormat="1" applyFont="1" applyBorder="1"/>
    <xf numFmtId="166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58">
    <cellStyle name="20% - Accent1 2" xfId="34" xr:uid="{2901E97B-302D-444B-B9AD-2130849E3D5A}"/>
    <cellStyle name="20% - Accent2 2" xfId="38" xr:uid="{1D6EAE35-1660-4947-9CA9-963BE1932810}"/>
    <cellStyle name="20% - Accent3 2" xfId="42" xr:uid="{042FAA23-4888-4CBB-A04A-0C64209776D8}"/>
    <cellStyle name="20% - Accent4 2" xfId="46" xr:uid="{D99F52BD-3B23-4D0B-8430-0B558380F78D}"/>
    <cellStyle name="20% - Accent5 2" xfId="50" xr:uid="{57BDC990-23FA-4E75-849C-26CF5179EAE7}"/>
    <cellStyle name="20% - Accent6 2" xfId="54" xr:uid="{E6D1BA53-7E60-4E55-9ABD-82EB1AB52935}"/>
    <cellStyle name="2x indented GHG Textfiels" xfId="10" xr:uid="{F613F031-D362-4B1B-9D49-9A8DD52ABE42}"/>
    <cellStyle name="40% - Accent1 2" xfId="35" xr:uid="{1E5ABE69-F35E-4789-A6E9-1D1546893760}"/>
    <cellStyle name="40% - Accent2 2" xfId="39" xr:uid="{A457E908-288B-4C17-80E3-30AEB2BF9856}"/>
    <cellStyle name="40% - Accent3 2" xfId="43" xr:uid="{AC59F286-EA62-45EE-8D6A-F247093A5838}"/>
    <cellStyle name="40% - Accent4 2" xfId="47" xr:uid="{6BD4CF47-0658-45CE-9526-31FAE7902B16}"/>
    <cellStyle name="40% - Accent5 2" xfId="51" xr:uid="{28DC90B2-7305-4307-AD4C-FEBAD11AC1DD}"/>
    <cellStyle name="40% - Accent6 2" xfId="55" xr:uid="{3096525A-F825-4630-BC41-C44AC7389FA6}"/>
    <cellStyle name="60% - Accent1 2" xfId="36" xr:uid="{C170D624-E838-4812-A3E8-FF00A4AFC2C3}"/>
    <cellStyle name="60% - Accent2 2" xfId="40" xr:uid="{889BA884-FD18-4E04-8D6A-1A1993737EE6}"/>
    <cellStyle name="60% - Accent3 2" xfId="44" xr:uid="{13BF4E9E-BDEE-485A-BF0A-AF15D267BE88}"/>
    <cellStyle name="60% - Accent4 2" xfId="48" xr:uid="{55C2D84D-F01D-47C4-B757-F101C62ABB6C}"/>
    <cellStyle name="60% - Accent5 2" xfId="52" xr:uid="{3B37FDD9-ECED-4A08-B184-AB86F511C9E3}"/>
    <cellStyle name="60% - Accent6 2" xfId="56" xr:uid="{23D22D75-ED54-4160-88FD-25A0B3D9C46D}"/>
    <cellStyle name="Accent2 2" xfId="37" xr:uid="{31720B4E-C50F-4F14-B74D-948253FDA538}"/>
    <cellStyle name="Accent3 2" xfId="41" xr:uid="{2CF16F8A-3596-417E-9659-B9FE92F4A81D}"/>
    <cellStyle name="Accent4 2" xfId="45" xr:uid="{A648F9B2-EC47-486D-9506-26EC70AC74EF}"/>
    <cellStyle name="Accent5 2" xfId="49" xr:uid="{32E8BD9B-5BEE-4FD1-BF55-4E963608F1B5}"/>
    <cellStyle name="Accent6 2" xfId="53" xr:uid="{65554B7F-F125-46E6-8EFA-34E8255120C6}"/>
    <cellStyle name="Bad 2" xfId="24" xr:uid="{0143DD87-1C61-4EB5-A622-7C9A5788ACD5}"/>
    <cellStyle name="Calculation 2" xfId="28" xr:uid="{A77D38DF-0F3E-4FDB-A043-4EEC783905EE}"/>
    <cellStyle name="Check Cell 2" xfId="30" xr:uid="{304C8415-FBA2-4864-9C59-0E353D35C738}"/>
    <cellStyle name="Comma" xfId="1" builtinId="3"/>
    <cellStyle name="Comma 2" xfId="11" xr:uid="{F1C479CA-933A-41FD-95DC-A28C1DB477C1}"/>
    <cellStyle name="Comma 2 2" xfId="15" xr:uid="{6BCB99AF-D6AC-4B41-8BBC-40BF943DED3A}"/>
    <cellStyle name="Comma 2 3" xfId="16" xr:uid="{E7DE1EBB-B35D-426F-980A-99A0F72C727C}"/>
    <cellStyle name="Comma 3" xfId="17" xr:uid="{587BDD6F-1D0E-4139-8BEF-9CE3E7B989E8}"/>
    <cellStyle name="Comma 4" xfId="57" xr:uid="{65418DE3-60FE-42A7-A0A7-5AA323614AE7}"/>
    <cellStyle name="Explanatory Text 2" xfId="32" xr:uid="{73429DC0-4947-4AB9-8447-8826E1EDC40A}"/>
    <cellStyle name="Good 2" xfId="23" xr:uid="{EC3FD425-C9A3-43AE-847A-8BC8EFF1FCA1}"/>
    <cellStyle name="Heading 1 2" xfId="19" xr:uid="{F8D43D7E-5A79-4432-8562-2292C537F3A5}"/>
    <cellStyle name="Heading 2 2" xfId="20" xr:uid="{D02E33A7-B1AE-4C38-8B72-C450C318F7BC}"/>
    <cellStyle name="Heading 3 2" xfId="21" xr:uid="{F6EC715E-2E8E-4351-ADF5-5F7F91718A43}"/>
    <cellStyle name="Heading 4 2" xfId="22" xr:uid="{E346A07B-9A9C-477D-BDE6-788BD2D247A5}"/>
    <cellStyle name="Hyperlink" xfId="3" builtinId="8"/>
    <cellStyle name="Input 2" xfId="26" xr:uid="{F1306598-ACAC-42A4-A511-7FE4DB6A5821}"/>
    <cellStyle name="Linked Cell 2" xfId="29" xr:uid="{AED505AD-F10E-45D0-9DA1-38BC60076D85}"/>
    <cellStyle name="Neutral 2" xfId="25" xr:uid="{A2CBAFCB-517A-427F-A99C-4A16D5FDA147}"/>
    <cellStyle name="Normal" xfId="0" builtinId="0"/>
    <cellStyle name="Normal 2" xfId="4" xr:uid="{4F641488-2ADC-4C02-B6FF-C3E2EEC5A614}"/>
    <cellStyle name="Normal 2 2" xfId="14" xr:uid="{B3D3969A-8139-43D7-9F9F-44608E3B56B1}"/>
    <cellStyle name="Normal 3" xfId="7" xr:uid="{22D2E928-986C-4D22-B30B-3620E5107C72}"/>
    <cellStyle name="Normal 4" xfId="8" xr:uid="{7D3B7D6E-00BE-46DD-9A51-0CF1296B8FC9}"/>
    <cellStyle name="Normal 5" xfId="9" xr:uid="{D051ACE3-021F-49E2-BE10-D542A1A15ECA}"/>
    <cellStyle name="Normal 6" xfId="13" xr:uid="{84309C46-13EB-43DB-A1A7-F6697DC4A7FC}"/>
    <cellStyle name="Normal_1990 and 1998 CIP - Prices Quantity and CO2(MH)" xfId="6" xr:uid="{8FBC3DAC-F5A2-4ED9-BA6D-C03C7D4A6D04}"/>
    <cellStyle name="Normal_2000balx" xfId="5" xr:uid="{1F8512E3-BD3F-419D-A121-82252DACCF6A}"/>
    <cellStyle name="Output 2" xfId="27" xr:uid="{2B5DE265-3B83-401D-876C-6C8E172861C1}"/>
    <cellStyle name="Percent" xfId="2" builtinId="5"/>
    <cellStyle name="Percent 2" xfId="12" xr:uid="{8FFF86E9-3892-4EE0-B607-1D9CD68B6817}"/>
    <cellStyle name="Title 2" xfId="18" xr:uid="{4DA7900A-C857-4F5C-9856-5D0458C8AF5C}"/>
    <cellStyle name="Total 2" xfId="33" xr:uid="{779C7A60-E3CA-4D05-B4D5-3A1559B940D7}"/>
    <cellStyle name="Warning Text 2" xfId="31" xr:uid="{90360BCB-86FB-4485-86CC-CF2874683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beepbeep.ie/motorstats" TargetMode="External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>
      <c r="A16" s="433" t="s">
        <v>404</v>
      </c>
      <c r="B16" s="433"/>
      <c r="C16" s="433"/>
      <c r="D16" s="43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>
      <c r="A19" s="64" t="s">
        <v>405</v>
      </c>
      <c r="B19" s="432" t="s">
        <v>416</v>
      </c>
      <c r="C19" s="432"/>
      <c r="D19" s="43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>
      <c r="A20" s="64" t="s">
        <v>406</v>
      </c>
      <c r="B20" s="432" t="s">
        <v>419</v>
      </c>
      <c r="C20" s="432"/>
      <c r="D20" s="43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>
      <c r="A21" s="64" t="s">
        <v>407</v>
      </c>
      <c r="B21" s="67" t="s">
        <v>420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>
      <c r="A23" s="64" t="s">
        <v>408</v>
      </c>
      <c r="B23" s="432" t="s">
        <v>418</v>
      </c>
      <c r="C23" s="432"/>
      <c r="D23" s="43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>
      <c r="A24" s="64"/>
      <c r="B24" s="432" t="s">
        <v>417</v>
      </c>
      <c r="C24" s="432"/>
      <c r="D24" s="43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>
      <c r="A25" s="64"/>
      <c r="B25" s="67" t="s">
        <v>421</v>
      </c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>
      <c r="A26" s="64" t="s">
        <v>409</v>
      </c>
      <c r="B26" s="432" t="s">
        <v>418</v>
      </c>
      <c r="C26" s="432"/>
      <c r="D26" s="43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>
      <c r="A27" s="64"/>
      <c r="B27" s="67"/>
      <c r="C27" s="67"/>
      <c r="D27" s="6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>
      <c r="A29" s="64" t="s">
        <v>410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>
      <c r="A30" s="64" t="s">
        <v>411</v>
      </c>
      <c r="B30" s="434" t="s">
        <v>412</v>
      </c>
      <c r="C30" s="432"/>
      <c r="D30" s="43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>
      <c r="A31" s="64" t="s">
        <v>413</v>
      </c>
      <c r="B31" s="432" t="s">
        <v>414</v>
      </c>
      <c r="C31" s="432"/>
      <c r="D31" s="43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>
      <c r="A32" s="70"/>
      <c r="B32" s="71" t="s">
        <v>415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8"/>
  <sheetViews>
    <sheetView zoomScaleNormal="100" workbookViewId="0">
      <selection activeCell="H28" sqref="H28"/>
    </sheetView>
  </sheetViews>
  <sheetFormatPr defaultRowHeight="14.5"/>
  <cols>
    <col min="2" max="2" width="30" bestFit="1" customWidth="1"/>
    <col min="3" max="3" width="10" bestFit="1" customWidth="1"/>
    <col min="4" max="4" width="8.81640625" bestFit="1" customWidth="1"/>
    <col min="5" max="5" width="16.453125" bestFit="1" customWidth="1"/>
    <col min="6" max="6" width="5.54296875" bestFit="1" customWidth="1"/>
    <col min="7" max="7" width="8.81640625" bestFit="1" customWidth="1"/>
    <col min="8" max="8" width="14.26953125" bestFit="1" customWidth="1"/>
    <col min="9" max="9" width="12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_xlfn.TEXTJOIN(",",TRUE,Regions!C3,Regions!D3)</f>
        <v>~UC_Sets: R_E: IE,National</v>
      </c>
    </row>
    <row r="3" spans="1:11">
      <c r="B3" s="349" t="s">
        <v>459</v>
      </c>
    </row>
    <row r="4" spans="1:11">
      <c r="H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491</v>
      </c>
      <c r="E5" s="351" t="s">
        <v>225</v>
      </c>
      <c r="F5" s="351" t="s">
        <v>226</v>
      </c>
      <c r="G5" s="351" t="s">
        <v>227</v>
      </c>
      <c r="H5" s="351" t="s">
        <v>485</v>
      </c>
      <c r="I5" s="352" t="s">
        <v>487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488</v>
      </c>
      <c r="K6" s="354"/>
    </row>
    <row r="7" spans="1:11">
      <c r="B7" t="s">
        <v>504</v>
      </c>
      <c r="C7" t="s">
        <v>492</v>
      </c>
      <c r="D7" t="s">
        <v>493</v>
      </c>
      <c r="E7" t="s">
        <v>494</v>
      </c>
      <c r="F7">
        <v>2018</v>
      </c>
      <c r="G7" t="s">
        <v>223</v>
      </c>
      <c r="H7" t="s">
        <v>496</v>
      </c>
      <c r="I7">
        <v>1</v>
      </c>
      <c r="J7" s="355">
        <f>Conversions!$B$2*'EB2018'!$AO$3</f>
        <v>5.8385184241824009</v>
      </c>
      <c r="K7" t="s">
        <v>489</v>
      </c>
    </row>
    <row r="8" spans="1:11">
      <c r="F8">
        <v>2019</v>
      </c>
      <c r="G8" t="s">
        <v>223</v>
      </c>
      <c r="J8" s="355">
        <f>Conversions!$B$2*'EB2019'!$AO$3</f>
        <v>7.8478965511531191</v>
      </c>
    </row>
    <row r="9" spans="1:11">
      <c r="F9">
        <v>2020</v>
      </c>
      <c r="G9" t="s">
        <v>223</v>
      </c>
      <c r="J9" s="355">
        <f>Conversions!$B$2*'EB2020'!$AO$3</f>
        <v>6.3411436804464003</v>
      </c>
    </row>
    <row r="10" spans="1:11">
      <c r="F10">
        <v>2021</v>
      </c>
      <c r="G10" t="s">
        <v>223</v>
      </c>
      <c r="J10" s="355">
        <f>Conversions!$B$2*'EB2021'!$AO$3</f>
        <v>8.8241634675727223</v>
      </c>
    </row>
    <row r="11" spans="1:11">
      <c r="F11">
        <v>2022</v>
      </c>
      <c r="G11" t="s">
        <v>223</v>
      </c>
      <c r="J11" s="368">
        <f>Conversions!$B$2*'EB2022'!$AO$3</f>
        <v>5.6948892955919987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503</v>
      </c>
      <c r="C13" t="s">
        <v>492</v>
      </c>
      <c r="D13" t="s">
        <v>493</v>
      </c>
      <c r="E13" t="s">
        <v>495</v>
      </c>
      <c r="F13">
        <v>2018</v>
      </c>
      <c r="G13" t="s">
        <v>223</v>
      </c>
      <c r="H13" t="s">
        <v>497</v>
      </c>
      <c r="I13">
        <v>1</v>
      </c>
      <c r="J13" s="355">
        <f>Conversions!$B$2*'EB2018'!$AO$4</f>
        <v>5.9383641411770398</v>
      </c>
      <c r="K13" t="s">
        <v>490</v>
      </c>
    </row>
    <row r="14" spans="1:11">
      <c r="F14">
        <v>2019</v>
      </c>
      <c r="G14" t="s">
        <v>223</v>
      </c>
      <c r="J14" s="355">
        <f>Conversions!$B$2*'EB2019'!$AO$4</f>
        <v>5.5271334489739186</v>
      </c>
    </row>
    <row r="15" spans="1:11">
      <c r="F15">
        <v>2020</v>
      </c>
      <c r="G15" t="s">
        <v>223</v>
      </c>
      <c r="J15" s="355">
        <f>Conversions!$B$2*'EB2020'!$AO$4</f>
        <v>6.8879157977152801</v>
      </c>
    </row>
    <row r="16" spans="1:11">
      <c r="F16">
        <v>2021</v>
      </c>
      <c r="G16" t="s">
        <v>223</v>
      </c>
      <c r="J16" s="355">
        <f>Conversions!$B$2*'EB2021'!$AO$4</f>
        <v>3.1077995112374399</v>
      </c>
    </row>
    <row r="17" spans="2:11">
      <c r="F17">
        <v>2022</v>
      </c>
      <c r="G17" t="s">
        <v>223</v>
      </c>
      <c r="J17" s="368">
        <f>Conversions!$B$2*'EB2022'!$AO$4</f>
        <v>4.787893265688</v>
      </c>
    </row>
    <row r="18" spans="2:11">
      <c r="F18">
        <v>0</v>
      </c>
      <c r="G18" t="s">
        <v>223</v>
      </c>
      <c r="J18">
        <v>1</v>
      </c>
    </row>
    <row r="21" spans="2:11">
      <c r="H21" s="366" t="s">
        <v>586</v>
      </c>
    </row>
    <row r="22" spans="2:11">
      <c r="B22" s="350" t="s">
        <v>461</v>
      </c>
      <c r="C22" s="351" t="s">
        <v>474</v>
      </c>
      <c r="D22" s="351" t="s">
        <v>491</v>
      </c>
      <c r="E22" s="351" t="s">
        <v>225</v>
      </c>
      <c r="F22" s="351" t="s">
        <v>226</v>
      </c>
      <c r="G22" s="351" t="s">
        <v>227</v>
      </c>
      <c r="H22" s="351" t="s">
        <v>485</v>
      </c>
      <c r="I22" t="s">
        <v>498</v>
      </c>
      <c r="J22" s="353" t="s">
        <v>462</v>
      </c>
      <c r="K22" s="350" t="s">
        <v>463</v>
      </c>
    </row>
    <row r="23" spans="2:11">
      <c r="B23" t="s">
        <v>502</v>
      </c>
      <c r="C23" t="s">
        <v>499</v>
      </c>
      <c r="F23">
        <v>2018</v>
      </c>
      <c r="G23" t="s">
        <v>500</v>
      </c>
      <c r="I23">
        <v>1</v>
      </c>
      <c r="J23" s="19">
        <f>Conversions!$B$2*'EB2018'!$AH$2</f>
        <v>0.70393223471436184</v>
      </c>
      <c r="K23" t="s">
        <v>501</v>
      </c>
    </row>
    <row r="24" spans="2:11">
      <c r="F24">
        <v>2019</v>
      </c>
      <c r="G24" t="s">
        <v>500</v>
      </c>
      <c r="J24" s="19">
        <f>Conversions!$B$2*'EB2019'!$AH$2</f>
        <v>0.78962633124536741</v>
      </c>
    </row>
    <row r="25" spans="2:11">
      <c r="F25">
        <v>2020</v>
      </c>
      <c r="G25" t="s">
        <v>500</v>
      </c>
      <c r="J25" s="19">
        <f>Conversions!$B$2*'EB2020'!$AH$2</f>
        <v>0.87833840712769273</v>
      </c>
    </row>
    <row r="26" spans="2:11">
      <c r="F26">
        <v>2021</v>
      </c>
      <c r="G26" t="s">
        <v>500</v>
      </c>
      <c r="J26" s="19">
        <f>Conversions!$B$2*'EB2021'!$AH$2</f>
        <v>0.94933194191684911</v>
      </c>
    </row>
    <row r="27" spans="2:11">
      <c r="F27" s="366">
        <v>2022</v>
      </c>
      <c r="G27" s="366" t="s">
        <v>500</v>
      </c>
      <c r="H27" s="366"/>
      <c r="I27" s="366"/>
      <c r="J27" s="348">
        <f>Conversions!$B$2*'EB2022'!$AH$2</f>
        <v>1.1527996696955505</v>
      </c>
    </row>
    <row r="28" spans="2:11">
      <c r="F28">
        <v>0</v>
      </c>
      <c r="G28" t="s">
        <v>500</v>
      </c>
      <c r="J28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1:Y28"/>
  <sheetViews>
    <sheetView workbookViewId="0">
      <selection activeCell="N18" sqref="N18"/>
    </sheetView>
  </sheetViews>
  <sheetFormatPr defaultRowHeight="14.5"/>
  <cols>
    <col min="2" max="3" width="12.54296875" bestFit="1" customWidth="1"/>
    <col min="4" max="4" width="9.26953125" bestFit="1" customWidth="1"/>
    <col min="5" max="5" width="10.7265625" bestFit="1" customWidth="1"/>
    <col min="17" max="17" width="12.453125" bestFit="1" customWidth="1"/>
    <col min="18" max="18" width="9.26953125" bestFit="1" customWidth="1"/>
  </cols>
  <sheetData>
    <row r="1" spans="2:25">
      <c r="K1" t="s">
        <v>585</v>
      </c>
      <c r="L1" s="390">
        <v>0.01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29" t="s">
        <v>227</v>
      </c>
      <c r="Q3" s="29" t="s">
        <v>197</v>
      </c>
      <c r="R3" s="29" t="s">
        <v>198</v>
      </c>
      <c r="S3" s="29" t="s">
        <v>156</v>
      </c>
      <c r="T3" s="29">
        <v>2018</v>
      </c>
      <c r="U3" s="29">
        <v>2019</v>
      </c>
      <c r="V3" s="29">
        <v>2020</v>
      </c>
      <c r="W3" s="29">
        <v>2021</v>
      </c>
      <c r="X3" s="29">
        <v>2022</v>
      </c>
      <c r="Y3" s="29">
        <v>0</v>
      </c>
    </row>
    <row r="4" spans="2:25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348">
        <f>ROUNDUP(Conversions!$B$2*SUM('EB2022'!$AG$10,'EB2022'!$AG$11,'EB2022'!$AH$10,'EB2022'!$AH$11),1)</f>
        <v>1.6</v>
      </c>
      <c r="K4">
        <v>1</v>
      </c>
      <c r="P4" t="s">
        <v>500</v>
      </c>
      <c r="Q4" t="s">
        <v>202</v>
      </c>
      <c r="R4" t="s">
        <v>200</v>
      </c>
      <c r="S4" s="19" t="str">
        <f>_xlfn.TEXTJOIN(",",TRUE,Regions!$C$3:$D$3)</f>
        <v>IE,National</v>
      </c>
      <c r="T4" s="19">
        <f>+F4*(1+$L$1)</f>
        <v>1.7170000000000003</v>
      </c>
      <c r="U4" s="19">
        <f t="shared" ref="U4:X4" si="0">+G4*(1+$L$1)</f>
        <v>1.7170000000000003</v>
      </c>
      <c r="V4" s="19">
        <f t="shared" si="0"/>
        <v>1.6160000000000001</v>
      </c>
      <c r="W4" s="19">
        <f t="shared" si="0"/>
        <v>1.7170000000000003</v>
      </c>
      <c r="X4" s="19">
        <f t="shared" si="0"/>
        <v>1.6160000000000001</v>
      </c>
      <c r="Y4">
        <v>1</v>
      </c>
    </row>
    <row r="5" spans="2:25">
      <c r="B5" t="s">
        <v>486</v>
      </c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348">
        <f>ROUNDUP(Conversions!$B$2*SUM('EB2022'!$AE$10,'EB2022'!$AE$11),1)</f>
        <v>4.5999999999999996</v>
      </c>
      <c r="K5">
        <v>1</v>
      </c>
      <c r="P5" t="s">
        <v>500</v>
      </c>
      <c r="Q5" t="s">
        <v>203</v>
      </c>
      <c r="R5" t="s">
        <v>200</v>
      </c>
      <c r="S5" s="19" t="str">
        <f>_xlfn.TEXTJOIN(",",TRUE,Regions!$C$3:$D$3)</f>
        <v>IE,National</v>
      </c>
      <c r="T5" s="19">
        <f t="shared" ref="T5:T14" si="1">+F5*(1+$L$1)</f>
        <v>3.2320000000000002</v>
      </c>
      <c r="U5" s="19">
        <f t="shared" ref="U5:U14" si="2">+G5*(1+$L$1)</f>
        <v>3.3330000000000002</v>
      </c>
      <c r="V5" s="19">
        <f t="shared" ref="V5:V14" si="3">+H5*(1+$L$1)</f>
        <v>4.2419999999999991</v>
      </c>
      <c r="W5" s="19">
        <f t="shared" ref="W5:W14" si="4">+I5*(1+$L$1)</f>
        <v>4.343</v>
      </c>
      <c r="X5" s="348">
        <f t="shared" ref="X5:X14" si="5">+J5*(1+$L$1)</f>
        <v>4.6459999999999999</v>
      </c>
      <c r="Y5">
        <v>1</v>
      </c>
    </row>
    <row r="6" spans="2:25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48">
        <f>ROUNDUP(Conversions!$B$2*SUM('EB2022'!$C$10,'EB2022'!$C$11),1)</f>
        <v>23.700000000000003</v>
      </c>
      <c r="K6">
        <v>5</v>
      </c>
      <c r="P6" t="s">
        <v>500</v>
      </c>
      <c r="Q6" t="s">
        <v>201</v>
      </c>
      <c r="R6" t="s">
        <v>200</v>
      </c>
      <c r="S6" s="19" t="str">
        <f>_xlfn.TEXTJOIN(",",TRUE,Regions!$C$3:$D$3)</f>
        <v>IE,National</v>
      </c>
      <c r="T6" s="19">
        <f t="shared" si="1"/>
        <v>20.705000000000002</v>
      </c>
      <c r="U6" s="19">
        <f t="shared" si="2"/>
        <v>6.2619999999999996</v>
      </c>
      <c r="V6" s="19">
        <f t="shared" si="3"/>
        <v>8.282</v>
      </c>
      <c r="W6" s="19">
        <f t="shared" si="4"/>
        <v>28.482000000000003</v>
      </c>
      <c r="X6" s="348">
        <f t="shared" si="5"/>
        <v>23.937000000000005</v>
      </c>
      <c r="Y6">
        <v>5</v>
      </c>
    </row>
    <row r="7" spans="2:25"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348">
        <f>ROUNDUP(Conversions!$B$2*SUM('EB2022'!$U$10,'EB2022'!$U$11),1)</f>
        <v>1.2000000000000002</v>
      </c>
      <c r="K7">
        <v>1</v>
      </c>
      <c r="P7" t="s">
        <v>500</v>
      </c>
      <c r="Q7" t="s">
        <v>458</v>
      </c>
      <c r="R7" t="s">
        <v>200</v>
      </c>
      <c r="S7" s="19" t="str">
        <f>_xlfn.TEXTJOIN(",",TRUE,Regions!$C$3:$D$3)</f>
        <v>IE,National</v>
      </c>
      <c r="T7" s="19">
        <f t="shared" si="1"/>
        <v>0.40400000000000003</v>
      </c>
      <c r="U7" s="19">
        <f t="shared" si="2"/>
        <v>0.60599999999999998</v>
      </c>
      <c r="V7" s="19">
        <f t="shared" si="3"/>
        <v>0.505</v>
      </c>
      <c r="W7" s="19">
        <f t="shared" si="4"/>
        <v>1.3130000000000002</v>
      </c>
      <c r="X7" s="348">
        <f t="shared" si="5"/>
        <v>1.2120000000000002</v>
      </c>
      <c r="Y7">
        <v>5</v>
      </c>
    </row>
    <row r="8" spans="2:25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48">
        <f>ROUNDUP(Conversions!$B$2*SUM('EB2022'!$AA$10,'EB2022'!$AA$11),1)</f>
        <v>108.69999999999999</v>
      </c>
      <c r="K8">
        <v>1</v>
      </c>
      <c r="P8" t="s">
        <v>500</v>
      </c>
      <c r="Q8" t="s">
        <v>204</v>
      </c>
      <c r="R8" t="s">
        <v>200</v>
      </c>
      <c r="S8" s="19" t="str">
        <f>_xlfn.TEXTJOIN(",",TRUE,Regions!$C$3:$D$3)</f>
        <v>IE,National</v>
      </c>
      <c r="T8" s="19">
        <f t="shared" si="1"/>
        <v>104.131</v>
      </c>
      <c r="U8" s="19">
        <f t="shared" si="2"/>
        <v>106.65599999999999</v>
      </c>
      <c r="V8" s="19">
        <f t="shared" si="3"/>
        <v>108.575</v>
      </c>
      <c r="W8" s="19">
        <f t="shared" si="4"/>
        <v>99.080999999999989</v>
      </c>
      <c r="X8" s="348">
        <f t="shared" si="5"/>
        <v>109.78699999999999</v>
      </c>
      <c r="Y8">
        <v>5</v>
      </c>
    </row>
    <row r="9" spans="2:25">
      <c r="B9" t="s">
        <v>223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348">
        <f>ROUNDUP(Conversions!$B$2*SUM('EB2022'!$S$10,'EB2022'!$S$11),1)</f>
        <v>9.5</v>
      </c>
      <c r="K9">
        <v>1</v>
      </c>
      <c r="P9" t="s">
        <v>500</v>
      </c>
      <c r="Q9" t="s">
        <v>457</v>
      </c>
      <c r="R9" t="s">
        <v>200</v>
      </c>
      <c r="S9" s="19" t="str">
        <f>_xlfn.TEXTJOIN(",",TRUE,Regions!$C$3:$D$3)</f>
        <v>IE,National</v>
      </c>
      <c r="T9" s="19">
        <f t="shared" si="1"/>
        <v>1.1110000000000002</v>
      </c>
      <c r="U9" s="19">
        <f t="shared" si="2"/>
        <v>2.8280000000000003</v>
      </c>
      <c r="V9" s="19">
        <f t="shared" si="3"/>
        <v>4.04</v>
      </c>
      <c r="W9" s="19">
        <f t="shared" si="4"/>
        <v>13.937999999999999</v>
      </c>
      <c r="X9" s="348">
        <f t="shared" si="5"/>
        <v>9.5950000000000006</v>
      </c>
      <c r="Y9">
        <v>1</v>
      </c>
    </row>
    <row r="10" spans="2:25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348">
        <f>ROUNDUP(Conversions!$B$2*SUM(-'EB2022'!$AC$22),1)</f>
        <v>2.6</v>
      </c>
      <c r="K10">
        <v>1</v>
      </c>
      <c r="P10" t="s">
        <v>456</v>
      </c>
      <c r="Q10" t="s">
        <v>205</v>
      </c>
      <c r="R10" t="s">
        <v>200</v>
      </c>
      <c r="S10" s="19" t="str">
        <f>_xlfn.TEXTJOIN(",",TRUE,Regions!$C$3:$D$3)</f>
        <v>IE,National</v>
      </c>
      <c r="T10" s="19">
        <f t="shared" si="1"/>
        <v>2.5249999999999999</v>
      </c>
      <c r="U10" s="19">
        <f t="shared" si="2"/>
        <v>3.2320000000000002</v>
      </c>
      <c r="V10" s="19">
        <f t="shared" si="3"/>
        <v>3.4339999999999997</v>
      </c>
      <c r="W10" s="19">
        <f t="shared" si="4"/>
        <v>2.7270000000000003</v>
      </c>
      <c r="X10" s="348">
        <f t="shared" si="5"/>
        <v>2.6260000000000003</v>
      </c>
      <c r="Y10">
        <v>1</v>
      </c>
    </row>
    <row r="11" spans="2:25">
      <c r="B11" t="s">
        <v>486</v>
      </c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348">
        <f>ROUNDUP(Conversions!$B$2*SUM('EB2022'!$AF$10,'EB2022'!$AF$11,'EB2022'!$AN$10,'EB2022'!$AN$11),1)</f>
        <v>7.8999999999999995</v>
      </c>
      <c r="K11">
        <v>1</v>
      </c>
      <c r="P11" t="s">
        <v>500</v>
      </c>
      <c r="Q11" t="s">
        <v>206</v>
      </c>
      <c r="R11" t="s">
        <v>200</v>
      </c>
      <c r="S11" s="19" t="str">
        <f>_xlfn.TEXTJOIN(",",TRUE,Regions!$C$3:$D$3)</f>
        <v>IE,National</v>
      </c>
      <c r="T11" s="19">
        <f t="shared" si="1"/>
        <v>8.08</v>
      </c>
      <c r="U11" s="19">
        <f t="shared" si="2"/>
        <v>7.8780000000000001</v>
      </c>
      <c r="V11" s="19">
        <f t="shared" si="3"/>
        <v>8.282</v>
      </c>
      <c r="W11" s="19">
        <f t="shared" si="4"/>
        <v>7.8780000000000001</v>
      </c>
      <c r="X11" s="348">
        <f t="shared" si="5"/>
        <v>7.9789999999999992</v>
      </c>
      <c r="Y11">
        <v>1</v>
      </c>
    </row>
    <row r="12" spans="2:25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48">
        <f>ROUNDUP(Conversions!$B$2*SUM('EB2022'!$H$10,'EB2022'!$H$11),1)</f>
        <v>2.3000000000000003</v>
      </c>
      <c r="K12">
        <v>1</v>
      </c>
      <c r="P12" t="s">
        <v>500</v>
      </c>
      <c r="Q12" t="s">
        <v>207</v>
      </c>
      <c r="R12" t="s">
        <v>200</v>
      </c>
      <c r="S12" s="19" t="str">
        <f>_xlfn.TEXTJOIN(",",TRUE,Regions!$C$3:$D$3)</f>
        <v>IE,National</v>
      </c>
      <c r="T12" s="19">
        <f t="shared" si="1"/>
        <v>20.099000000000004</v>
      </c>
      <c r="U12" s="19">
        <f t="shared" si="2"/>
        <v>18.382000000000001</v>
      </c>
      <c r="V12" s="19">
        <f t="shared" si="3"/>
        <v>9.09</v>
      </c>
      <c r="W12" s="19">
        <f t="shared" si="4"/>
        <v>3.0300000000000002</v>
      </c>
      <c r="X12" s="348">
        <f t="shared" si="5"/>
        <v>2.3230000000000004</v>
      </c>
      <c r="Y12">
        <v>1</v>
      </c>
    </row>
    <row r="13" spans="2:25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0.2</v>
      </c>
      <c r="I13" s="19">
        <f>ROUNDUP(Conversions!$B$2*SUM(-'EB2021'!$AK$22),1)</f>
        <v>0.30000000000000004</v>
      </c>
      <c r="J13" s="348">
        <f>ROUNDUP(Conversions!$B$2*SUM(-'EB2022'!$AK$22),1)</f>
        <v>0.6</v>
      </c>
      <c r="K13">
        <v>1</v>
      </c>
      <c r="P13" t="s">
        <v>456</v>
      </c>
      <c r="Q13" t="s">
        <v>208</v>
      </c>
      <c r="R13" t="s">
        <v>200</v>
      </c>
      <c r="S13" s="19" t="str">
        <f>_xlfn.TEXTJOIN(",",TRUE,Regions!$C$3:$D$3)</f>
        <v>IE,National</v>
      </c>
      <c r="T13" s="19">
        <f t="shared" si="1"/>
        <v>0.10100000000000001</v>
      </c>
      <c r="U13" s="19">
        <f t="shared" si="2"/>
        <v>0.20200000000000001</v>
      </c>
      <c r="V13" s="19">
        <f t="shared" si="3"/>
        <v>0.20200000000000001</v>
      </c>
      <c r="W13" s="19">
        <f t="shared" si="4"/>
        <v>0.30300000000000005</v>
      </c>
      <c r="X13" s="348">
        <f t="shared" si="5"/>
        <v>0.60599999999999998</v>
      </c>
      <c r="Y13">
        <v>1</v>
      </c>
    </row>
    <row r="14" spans="2:25">
      <c r="B14" s="30"/>
      <c r="C14" s="30" t="s">
        <v>209</v>
      </c>
      <c r="D14" s="30" t="s">
        <v>200</v>
      </c>
      <c r="E14" s="370" t="str">
        <f>_xlfn.TEXTJOIN(",",TRUE,Regions!$C$3:$D$3)</f>
        <v>IE,National</v>
      </c>
      <c r="F14" s="370">
        <f>ROUNDUP(Conversions!$B$2*SUM(-'EB2018'!$AD$22),1)</f>
        <v>31.200000000000003</v>
      </c>
      <c r="G14" s="370">
        <f>ROUNDUP(Conversions!$B$2*SUM(-'EB2019'!$AD$22),1)</f>
        <v>36.1</v>
      </c>
      <c r="H14" s="370">
        <f>ROUNDUP(Conversions!$B$2*SUM(-'EB2020'!$AD$22),1)</f>
        <v>41.6</v>
      </c>
      <c r="I14" s="370">
        <f>ROUNDUP(Conversions!$B$2*SUM(-'EB2021'!$AD$22),1)</f>
        <v>35.300000000000004</v>
      </c>
      <c r="J14" s="371">
        <f>ROUNDUP(Conversions!$B$2*SUM(-'EB2022'!$AD$22),1)</f>
        <v>40.4</v>
      </c>
      <c r="K14" s="30">
        <v>1</v>
      </c>
      <c r="P14" t="s">
        <v>456</v>
      </c>
      <c r="Q14" s="30" t="s">
        <v>209</v>
      </c>
      <c r="R14" s="30" t="s">
        <v>200</v>
      </c>
      <c r="S14" s="370" t="str">
        <f>_xlfn.TEXTJOIN(",",TRUE,Regions!$C$3:$D$3)</f>
        <v>IE,National</v>
      </c>
      <c r="T14" s="370">
        <f t="shared" si="1"/>
        <v>31.512000000000004</v>
      </c>
      <c r="U14" s="370">
        <f t="shared" si="2"/>
        <v>36.460999999999999</v>
      </c>
      <c r="V14" s="370">
        <f t="shared" si="3"/>
        <v>42.016000000000005</v>
      </c>
      <c r="W14" s="370">
        <f t="shared" si="4"/>
        <v>35.653000000000006</v>
      </c>
      <c r="X14" s="371">
        <f t="shared" si="5"/>
        <v>40.804000000000002</v>
      </c>
      <c r="Y14" s="30">
        <v>1</v>
      </c>
    </row>
    <row r="15" spans="2:25">
      <c r="F15" s="19"/>
      <c r="G15" s="19"/>
      <c r="H15" s="19"/>
      <c r="I15" s="19"/>
      <c r="P15" t="s">
        <v>486</v>
      </c>
      <c r="Q15" t="s">
        <v>202</v>
      </c>
      <c r="R15" t="s">
        <v>200</v>
      </c>
      <c r="S15" s="19" t="str">
        <f>_xlfn.TEXTJOIN(",",TRUE,Regions!$C$3:$D$3)</f>
        <v>IE,National</v>
      </c>
      <c r="T15" s="19">
        <f>+F4*(1-$L$1)</f>
        <v>1.6830000000000001</v>
      </c>
      <c r="U15" s="19">
        <f t="shared" ref="U15:X15" si="6">+G4*(1-$L$1)</f>
        <v>1.6830000000000001</v>
      </c>
      <c r="V15" s="19">
        <f t="shared" si="6"/>
        <v>1.5840000000000001</v>
      </c>
      <c r="W15" s="19">
        <f t="shared" si="6"/>
        <v>1.6830000000000001</v>
      </c>
      <c r="X15" s="348">
        <f t="shared" si="6"/>
        <v>1.5840000000000001</v>
      </c>
      <c r="Y15">
        <v>1</v>
      </c>
    </row>
    <row r="16" spans="2:25">
      <c r="F16" s="19"/>
      <c r="G16" s="19"/>
      <c r="H16" s="19"/>
      <c r="I16" s="19"/>
      <c r="P16" t="s">
        <v>486</v>
      </c>
      <c r="Q16" t="s">
        <v>203</v>
      </c>
      <c r="R16" t="s">
        <v>200</v>
      </c>
      <c r="S16" s="19" t="str">
        <f>_xlfn.TEXTJOIN(",",TRUE,Regions!$C$3:$D$3)</f>
        <v>IE,National</v>
      </c>
      <c r="T16" s="19">
        <f t="shared" ref="T16:T25" si="7">+F5*(1-$L$1)</f>
        <v>3.1680000000000001</v>
      </c>
      <c r="U16" s="19">
        <f t="shared" ref="U16:U25" si="8">+G5*(1-$L$1)</f>
        <v>3.2670000000000003</v>
      </c>
      <c r="V16" s="19">
        <f t="shared" ref="V16:V25" si="9">+H5*(1-$L$1)</f>
        <v>4.1579999999999995</v>
      </c>
      <c r="W16" s="19">
        <f t="shared" ref="W16:W25" si="10">+I5*(1-$L$1)</f>
        <v>4.2569999999999997</v>
      </c>
      <c r="X16" s="348">
        <f t="shared" ref="X16:X25" si="11">+J5*(1-$L$1)</f>
        <v>4.5539999999999994</v>
      </c>
      <c r="Y16">
        <v>1</v>
      </c>
    </row>
    <row r="17" spans="2:25">
      <c r="J17" s="23"/>
      <c r="P17" t="s">
        <v>486</v>
      </c>
      <c r="Q17" t="s">
        <v>201</v>
      </c>
      <c r="R17" t="s">
        <v>200</v>
      </c>
      <c r="S17" s="19" t="str">
        <f>_xlfn.TEXTJOIN(",",TRUE,Regions!$C$3:$D$3)</f>
        <v>IE,National</v>
      </c>
      <c r="T17" s="19">
        <f t="shared" si="7"/>
        <v>20.294999999999998</v>
      </c>
      <c r="U17" s="19">
        <f t="shared" si="8"/>
        <v>6.137999999999999</v>
      </c>
      <c r="V17" s="19">
        <f t="shared" si="9"/>
        <v>8.1179999999999986</v>
      </c>
      <c r="W17" s="19">
        <f t="shared" si="10"/>
        <v>27.918000000000003</v>
      </c>
      <c r="X17" s="348">
        <f t="shared" si="11"/>
        <v>23.463000000000001</v>
      </c>
      <c r="Y17">
        <v>1</v>
      </c>
    </row>
    <row r="18" spans="2:25">
      <c r="C18" t="s">
        <v>202</v>
      </c>
      <c r="D18" t="s">
        <v>200</v>
      </c>
      <c r="E18" s="19" t="s">
        <v>547</v>
      </c>
      <c r="F18" s="19">
        <v>1.7000000000000002</v>
      </c>
      <c r="G18" s="19">
        <v>1.7000000000000002</v>
      </c>
      <c r="H18" s="19">
        <v>1.6</v>
      </c>
      <c r="I18" s="19">
        <v>1.7000000000000002</v>
      </c>
      <c r="J18" s="348">
        <v>1.6</v>
      </c>
      <c r="K18">
        <v>1</v>
      </c>
      <c r="P18" t="s">
        <v>486</v>
      </c>
      <c r="Q18" t="s">
        <v>458</v>
      </c>
      <c r="R18" t="s">
        <v>200</v>
      </c>
      <c r="S18" s="19" t="str">
        <f>_xlfn.TEXTJOIN(",",TRUE,Regions!$C$3:$D$3)</f>
        <v>IE,National</v>
      </c>
      <c r="T18" s="19">
        <f t="shared" si="7"/>
        <v>0.39600000000000002</v>
      </c>
      <c r="U18" s="19">
        <f t="shared" si="8"/>
        <v>0.59399999999999997</v>
      </c>
      <c r="V18" s="19">
        <f t="shared" si="9"/>
        <v>0.495</v>
      </c>
      <c r="W18" s="19">
        <f t="shared" si="10"/>
        <v>1.2869999999999999</v>
      </c>
      <c r="X18" s="348">
        <f t="shared" si="11"/>
        <v>1.1880000000000002</v>
      </c>
      <c r="Y18">
        <v>1</v>
      </c>
    </row>
    <row r="19" spans="2:25">
      <c r="C19" t="s">
        <v>203</v>
      </c>
      <c r="D19" t="s">
        <v>200</v>
      </c>
      <c r="E19" s="19" t="s">
        <v>547</v>
      </c>
      <c r="F19" s="19">
        <v>3.2</v>
      </c>
      <c r="G19" s="19">
        <v>3.3000000000000003</v>
      </c>
      <c r="H19" s="19">
        <v>4.1999999999999993</v>
      </c>
      <c r="I19" s="19">
        <v>4.3</v>
      </c>
      <c r="J19" s="348">
        <v>4.5999999999999996</v>
      </c>
      <c r="K19">
        <v>1</v>
      </c>
      <c r="P19" t="s">
        <v>486</v>
      </c>
      <c r="Q19" t="s">
        <v>204</v>
      </c>
      <c r="R19" t="s">
        <v>200</v>
      </c>
      <c r="S19" s="19" t="str">
        <f>_xlfn.TEXTJOIN(",",TRUE,Regions!$C$3:$D$3)</f>
        <v>IE,National</v>
      </c>
      <c r="T19" s="19">
        <f t="shared" si="7"/>
        <v>102.06899999999999</v>
      </c>
      <c r="U19" s="19">
        <f t="shared" si="8"/>
        <v>104.544</v>
      </c>
      <c r="V19" s="19">
        <f t="shared" si="9"/>
        <v>106.425</v>
      </c>
      <c r="W19" s="19">
        <f t="shared" si="10"/>
        <v>97.119</v>
      </c>
      <c r="X19" s="348">
        <f t="shared" si="11"/>
        <v>107.61299999999999</v>
      </c>
      <c r="Y19">
        <v>1</v>
      </c>
    </row>
    <row r="20" spans="2:25">
      <c r="C20" t="s">
        <v>201</v>
      </c>
      <c r="D20" t="s">
        <v>200</v>
      </c>
      <c r="E20" s="19" t="s">
        <v>547</v>
      </c>
      <c r="F20" s="19">
        <v>20.5</v>
      </c>
      <c r="G20" s="19">
        <v>6.1999999999999993</v>
      </c>
      <c r="H20" s="19">
        <v>8.1999999999999993</v>
      </c>
      <c r="I20" s="19">
        <v>28.200000000000003</v>
      </c>
      <c r="J20" s="348">
        <v>23.700000000000003</v>
      </c>
      <c r="K20">
        <v>5</v>
      </c>
      <c r="P20" t="s">
        <v>486</v>
      </c>
      <c r="Q20" t="s">
        <v>457</v>
      </c>
      <c r="R20" t="s">
        <v>200</v>
      </c>
      <c r="S20" s="19" t="str">
        <f>_xlfn.TEXTJOIN(",",TRUE,Regions!$C$3:$D$3)</f>
        <v>IE,National</v>
      </c>
      <c r="T20" s="19">
        <f t="shared" si="7"/>
        <v>1.089</v>
      </c>
      <c r="U20" s="19">
        <f t="shared" si="8"/>
        <v>2.7720000000000002</v>
      </c>
      <c r="V20" s="19">
        <f t="shared" si="9"/>
        <v>3.96</v>
      </c>
      <c r="W20" s="19">
        <f t="shared" si="10"/>
        <v>13.661999999999999</v>
      </c>
      <c r="X20" s="348">
        <f t="shared" si="11"/>
        <v>9.4049999999999994</v>
      </c>
      <c r="Y20">
        <v>1</v>
      </c>
    </row>
    <row r="21" spans="2:25">
      <c r="B21" t="s">
        <v>456</v>
      </c>
      <c r="C21" t="s">
        <v>458</v>
      </c>
      <c r="D21" t="s">
        <v>200</v>
      </c>
      <c r="E21" s="19" t="s">
        <v>547</v>
      </c>
      <c r="F21" s="19">
        <v>0.4</v>
      </c>
      <c r="G21" s="19">
        <v>0.6</v>
      </c>
      <c r="H21" s="19">
        <v>0.5</v>
      </c>
      <c r="I21" s="19">
        <v>1.3</v>
      </c>
      <c r="J21" s="348">
        <v>1.2000000000000002</v>
      </c>
      <c r="K21">
        <v>1</v>
      </c>
      <c r="P21" t="s">
        <v>456</v>
      </c>
      <c r="Q21" t="s">
        <v>205</v>
      </c>
      <c r="R21" t="s">
        <v>200</v>
      </c>
      <c r="S21" s="19" t="str">
        <f>_xlfn.TEXTJOIN(",",TRUE,Regions!$C$3:$D$3)</f>
        <v>IE,National</v>
      </c>
      <c r="T21" s="19">
        <f t="shared" si="7"/>
        <v>2.4750000000000001</v>
      </c>
      <c r="U21" s="19">
        <f t="shared" si="8"/>
        <v>3.1680000000000001</v>
      </c>
      <c r="V21" s="19">
        <f t="shared" si="9"/>
        <v>3.3660000000000001</v>
      </c>
      <c r="W21" s="19">
        <f t="shared" si="10"/>
        <v>2.673</v>
      </c>
      <c r="X21" s="348">
        <f t="shared" si="11"/>
        <v>2.5739999999999998</v>
      </c>
      <c r="Y21">
        <v>1</v>
      </c>
    </row>
    <row r="22" spans="2:25">
      <c r="C22" t="s">
        <v>204</v>
      </c>
      <c r="D22" t="s">
        <v>200</v>
      </c>
      <c r="E22" s="19" t="s">
        <v>547</v>
      </c>
      <c r="F22" s="19">
        <v>103.1</v>
      </c>
      <c r="G22" s="19">
        <v>105.6</v>
      </c>
      <c r="H22" s="19">
        <v>107.5</v>
      </c>
      <c r="I22" s="19">
        <v>98.1</v>
      </c>
      <c r="J22" s="348">
        <v>108.69999999999999</v>
      </c>
      <c r="K22">
        <v>1</v>
      </c>
      <c r="P22" t="s">
        <v>486</v>
      </c>
      <c r="Q22" t="s">
        <v>206</v>
      </c>
      <c r="R22" t="s">
        <v>200</v>
      </c>
      <c r="S22" s="19" t="str">
        <f>_xlfn.TEXTJOIN(",",TRUE,Regions!$C$3:$D$3)</f>
        <v>IE,National</v>
      </c>
      <c r="T22" s="19">
        <f t="shared" si="7"/>
        <v>7.92</v>
      </c>
      <c r="U22" s="19">
        <f t="shared" si="8"/>
        <v>7.7219999999999995</v>
      </c>
      <c r="V22" s="19">
        <f t="shared" si="9"/>
        <v>8.1179999999999986</v>
      </c>
      <c r="W22" s="19">
        <f t="shared" si="10"/>
        <v>7.7219999999999995</v>
      </c>
      <c r="X22" s="348">
        <f t="shared" si="11"/>
        <v>7.8209999999999997</v>
      </c>
      <c r="Y22">
        <v>1</v>
      </c>
    </row>
    <row r="23" spans="2:25">
      <c r="B23" t="s">
        <v>456</v>
      </c>
      <c r="C23" t="s">
        <v>457</v>
      </c>
      <c r="D23" t="s">
        <v>200</v>
      </c>
      <c r="E23" s="19" t="s">
        <v>547</v>
      </c>
      <c r="F23" s="19">
        <v>1.1000000000000001</v>
      </c>
      <c r="G23" s="19">
        <v>2.8000000000000003</v>
      </c>
      <c r="H23" s="19">
        <v>4</v>
      </c>
      <c r="I23" s="19">
        <v>13.799999999999999</v>
      </c>
      <c r="J23" s="348">
        <v>9.5</v>
      </c>
      <c r="K23">
        <v>1</v>
      </c>
      <c r="P23" t="s">
        <v>486</v>
      </c>
      <c r="Q23" t="s">
        <v>207</v>
      </c>
      <c r="R23" t="s">
        <v>200</v>
      </c>
      <c r="S23" s="19" t="str">
        <f>_xlfn.TEXTJOIN(",",TRUE,Regions!$C$3:$D$3)</f>
        <v>IE,National</v>
      </c>
      <c r="T23" s="19">
        <f t="shared" si="7"/>
        <v>19.701000000000001</v>
      </c>
      <c r="U23" s="19">
        <f t="shared" si="8"/>
        <v>18.018000000000004</v>
      </c>
      <c r="V23" s="19">
        <f t="shared" si="9"/>
        <v>8.91</v>
      </c>
      <c r="W23" s="19">
        <f t="shared" si="10"/>
        <v>2.9699999999999998</v>
      </c>
      <c r="X23" s="348">
        <f t="shared" si="11"/>
        <v>2.2770000000000001</v>
      </c>
      <c r="Y23">
        <v>1</v>
      </c>
    </row>
    <row r="24" spans="2:25">
      <c r="C24" t="s">
        <v>205</v>
      </c>
      <c r="D24" t="s">
        <v>200</v>
      </c>
      <c r="E24" s="19" t="s">
        <v>547</v>
      </c>
      <c r="F24" s="19">
        <v>2.5</v>
      </c>
      <c r="G24" s="19">
        <v>3.2</v>
      </c>
      <c r="H24" s="19">
        <v>3.4</v>
      </c>
      <c r="I24" s="19">
        <v>2.7</v>
      </c>
      <c r="J24" s="348">
        <v>2.6</v>
      </c>
      <c r="K24">
        <v>1</v>
      </c>
      <c r="P24" t="s">
        <v>456</v>
      </c>
      <c r="Q24" t="s">
        <v>208</v>
      </c>
      <c r="R24" t="s">
        <v>200</v>
      </c>
      <c r="S24" s="19" t="str">
        <f>_xlfn.TEXTJOIN(",",TRUE,Regions!$C$3:$D$3)</f>
        <v>IE,National</v>
      </c>
      <c r="T24" s="19">
        <f t="shared" si="7"/>
        <v>9.9000000000000005E-2</v>
      </c>
      <c r="U24" s="19">
        <f t="shared" si="8"/>
        <v>0.19800000000000001</v>
      </c>
      <c r="V24" s="19">
        <f t="shared" si="9"/>
        <v>0.19800000000000001</v>
      </c>
      <c r="W24" s="19">
        <f t="shared" si="10"/>
        <v>0.29700000000000004</v>
      </c>
      <c r="X24" s="348">
        <f t="shared" si="11"/>
        <v>0.59399999999999997</v>
      </c>
      <c r="Y24">
        <v>1</v>
      </c>
    </row>
    <row r="25" spans="2:25">
      <c r="C25" t="s">
        <v>206</v>
      </c>
      <c r="D25" t="s">
        <v>200</v>
      </c>
      <c r="E25" s="19" t="s">
        <v>547</v>
      </c>
      <c r="F25" s="19">
        <v>8</v>
      </c>
      <c r="G25" s="19">
        <v>7.8</v>
      </c>
      <c r="H25" s="19">
        <v>8.1999999999999993</v>
      </c>
      <c r="I25" s="19">
        <v>7.8</v>
      </c>
      <c r="J25" s="348">
        <v>7.8999999999999995</v>
      </c>
      <c r="K25">
        <v>1</v>
      </c>
      <c r="P25" t="s">
        <v>456</v>
      </c>
      <c r="Q25" s="30" t="s">
        <v>209</v>
      </c>
      <c r="R25" s="30" t="s">
        <v>200</v>
      </c>
      <c r="S25" s="370" t="str">
        <f>_xlfn.TEXTJOIN(",",TRUE,Regions!$C$3:$D$3)</f>
        <v>IE,National</v>
      </c>
      <c r="T25" s="370">
        <f t="shared" si="7"/>
        <v>30.888000000000002</v>
      </c>
      <c r="U25" s="370">
        <f t="shared" si="8"/>
        <v>35.739000000000004</v>
      </c>
      <c r="V25" s="370">
        <f t="shared" si="9"/>
        <v>41.183999999999997</v>
      </c>
      <c r="W25" s="370">
        <f t="shared" si="10"/>
        <v>34.947000000000003</v>
      </c>
      <c r="X25" s="371">
        <f t="shared" si="11"/>
        <v>39.995999999999995</v>
      </c>
      <c r="Y25" s="30">
        <v>1</v>
      </c>
    </row>
    <row r="26" spans="2:25">
      <c r="C26" t="s">
        <v>207</v>
      </c>
      <c r="D26" t="s">
        <v>200</v>
      </c>
      <c r="E26" s="19" t="s">
        <v>547</v>
      </c>
      <c r="F26" s="19">
        <v>19.900000000000002</v>
      </c>
      <c r="G26" s="19">
        <v>18.200000000000003</v>
      </c>
      <c r="H26" s="19">
        <v>9</v>
      </c>
      <c r="I26" s="19">
        <v>3</v>
      </c>
      <c r="J26" s="348">
        <v>2.3000000000000003</v>
      </c>
      <c r="K26">
        <v>1</v>
      </c>
    </row>
    <row r="27" spans="2:25">
      <c r="C27" t="s">
        <v>208</v>
      </c>
      <c r="D27" t="s">
        <v>200</v>
      </c>
      <c r="E27" s="19" t="s">
        <v>547</v>
      </c>
      <c r="F27" s="19">
        <v>0.1</v>
      </c>
      <c r="G27" s="19">
        <v>0.2</v>
      </c>
      <c r="H27" s="19">
        <v>0.30000000000000004</v>
      </c>
      <c r="I27" s="19">
        <v>0.4</v>
      </c>
      <c r="J27" s="348">
        <v>0.6</v>
      </c>
      <c r="K27">
        <v>1</v>
      </c>
    </row>
    <row r="28" spans="2:25">
      <c r="C28" t="s">
        <v>209</v>
      </c>
      <c r="D28" t="s">
        <v>200</v>
      </c>
      <c r="E28" s="19" t="s">
        <v>547</v>
      </c>
      <c r="F28" s="19">
        <v>31.200000000000003</v>
      </c>
      <c r="G28" s="19">
        <v>36.1</v>
      </c>
      <c r="H28" s="19">
        <v>41.6</v>
      </c>
      <c r="I28" s="19">
        <v>35.200000000000003</v>
      </c>
      <c r="J28" s="348">
        <v>40.4</v>
      </c>
      <c r="K28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L18"/>
  <sheetViews>
    <sheetView workbookViewId="0">
      <selection activeCell="G12" sqref="G12"/>
    </sheetView>
  </sheetViews>
  <sheetFormatPr defaultRowHeight="14.5"/>
  <cols>
    <col min="2" max="2" width="24.54296875" bestFit="1" customWidth="1"/>
    <col min="3" max="3" width="11.81640625" bestFit="1" customWidth="1"/>
    <col min="4" max="4" width="5" bestFit="1" customWidth="1"/>
    <col min="5" max="5" width="8.453125" bestFit="1" customWidth="1"/>
    <col min="6" max="6" width="8.1796875" bestFit="1" customWidth="1"/>
    <col min="7" max="7" width="11.1796875" bestFit="1" customWidth="1"/>
    <col min="8" max="8" width="31.7265625" bestFit="1" customWidth="1"/>
  </cols>
  <sheetData>
    <row r="3" spans="2:12">
      <c r="B3" s="28" t="str">
        <f>"~UC_Sets: R_E: "  &amp; _xlfn.TEXTJOIN(",",TRUE,Regions!$C$3:$D$3)</f>
        <v>~UC_Sets: R_E: IE,National</v>
      </c>
    </row>
    <row r="4" spans="2:12">
      <c r="B4" s="28" t="s">
        <v>459</v>
      </c>
    </row>
    <row r="5" spans="2:12">
      <c r="E5" s="28" t="s">
        <v>460</v>
      </c>
    </row>
    <row r="6" spans="2:12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12">
      <c r="B7" t="s">
        <v>464</v>
      </c>
      <c r="G7" t="s">
        <v>468</v>
      </c>
    </row>
    <row r="8" spans="2:12">
      <c r="B8" s="346" t="s">
        <v>466</v>
      </c>
      <c r="C8" s="346" t="s">
        <v>467</v>
      </c>
      <c r="D8" s="346">
        <v>2019</v>
      </c>
      <c r="E8" s="346" t="s">
        <v>223</v>
      </c>
      <c r="F8" s="346">
        <v>1</v>
      </c>
      <c r="G8" s="347">
        <f>+L9/1000</f>
        <v>4.1128</v>
      </c>
      <c r="H8" s="346" t="s">
        <v>471</v>
      </c>
      <c r="K8" s="21">
        <v>2018</v>
      </c>
      <c r="L8">
        <v>3667</v>
      </c>
    </row>
    <row r="9" spans="2:12">
      <c r="C9" t="str">
        <f>$C$8</f>
        <v>P*WIN*ON*</v>
      </c>
      <c r="D9">
        <v>2020</v>
      </c>
      <c r="E9" t="str">
        <f>$E$8</f>
        <v>FX</v>
      </c>
      <c r="F9">
        <v>1</v>
      </c>
      <c r="G9" s="345">
        <f t="shared" ref="G9:G11" si="0">+L10/1000</f>
        <v>4.3228999999999997</v>
      </c>
      <c r="K9" s="21">
        <v>2019</v>
      </c>
      <c r="L9">
        <v>4112.8</v>
      </c>
    </row>
    <row r="10" spans="2:12">
      <c r="C10" t="str">
        <f t="shared" ref="C10:C13" si="1">$C$8</f>
        <v>P*WIN*ON*</v>
      </c>
      <c r="D10">
        <v>2021</v>
      </c>
      <c r="E10" t="str">
        <f t="shared" ref="E10:E13" si="2">$E$8</f>
        <v>FX</v>
      </c>
      <c r="F10">
        <v>1</v>
      </c>
      <c r="G10" s="345">
        <f t="shared" si="0"/>
        <v>4.3321999999999994</v>
      </c>
      <c r="K10" s="21">
        <v>2020</v>
      </c>
      <c r="L10">
        <v>4322.8999999999996</v>
      </c>
    </row>
    <row r="11" spans="2:12">
      <c r="C11" t="str">
        <f t="shared" si="1"/>
        <v>P*WIN*ON*</v>
      </c>
      <c r="D11">
        <v>2022</v>
      </c>
      <c r="E11" t="str">
        <f t="shared" si="2"/>
        <v>FX</v>
      </c>
      <c r="F11">
        <v>1</v>
      </c>
      <c r="G11" s="345">
        <f t="shared" si="0"/>
        <v>4.5273000000000003</v>
      </c>
      <c r="K11" s="21">
        <v>2021</v>
      </c>
      <c r="L11">
        <v>4332.2</v>
      </c>
    </row>
    <row r="12" spans="2:12">
      <c r="C12" t="str">
        <f t="shared" si="1"/>
        <v>P*WIN*ON*</v>
      </c>
      <c r="D12">
        <v>2023</v>
      </c>
      <c r="E12" t="str">
        <f t="shared" si="2"/>
        <v>FX</v>
      </c>
      <c r="F12">
        <v>1</v>
      </c>
      <c r="G12" s="345">
        <v>4.7770000000000001</v>
      </c>
      <c r="K12" s="21">
        <v>2022</v>
      </c>
      <c r="L12">
        <v>4527.3</v>
      </c>
    </row>
    <row r="13" spans="2:12">
      <c r="C13" t="str">
        <f t="shared" si="1"/>
        <v>P*WIN*ON*</v>
      </c>
      <c r="D13">
        <v>0</v>
      </c>
      <c r="E13" t="str">
        <f t="shared" si="2"/>
        <v>FX</v>
      </c>
      <c r="G13">
        <v>1</v>
      </c>
    </row>
    <row r="14" spans="2:12">
      <c r="B14" s="346" t="s">
        <v>469</v>
      </c>
      <c r="C14" s="346" t="s">
        <v>472</v>
      </c>
      <c r="D14" s="346">
        <v>2019</v>
      </c>
      <c r="E14" s="346" t="s">
        <v>223</v>
      </c>
      <c r="F14" s="346">
        <v>1</v>
      </c>
      <c r="G14" s="347">
        <v>0.02</v>
      </c>
      <c r="H14" s="346" t="s">
        <v>470</v>
      </c>
    </row>
    <row r="15" spans="2:12">
      <c r="C15" t="str">
        <f>$C$14</f>
        <v>P*SOL*PV*</v>
      </c>
      <c r="D15">
        <v>2020</v>
      </c>
      <c r="E15" t="str">
        <f>$E$14</f>
        <v>FX</v>
      </c>
      <c r="F15">
        <v>1</v>
      </c>
      <c r="G15" s="345">
        <v>5.2999999999999999E-2</v>
      </c>
    </row>
    <row r="16" spans="2:12">
      <c r="C16" t="str">
        <f t="shared" ref="C16:C18" si="3">$C$14</f>
        <v>P*SOL*PV*</v>
      </c>
      <c r="D16">
        <v>2021</v>
      </c>
      <c r="E16" t="str">
        <f t="shared" ref="E16:E18" si="4">$E$14</f>
        <v>FX</v>
      </c>
      <c r="F16">
        <v>1</v>
      </c>
      <c r="G16" s="345">
        <v>0.26100000000000001</v>
      </c>
    </row>
    <row r="17" spans="3:7">
      <c r="C17" t="str">
        <f t="shared" si="3"/>
        <v>P*SOL*PV*</v>
      </c>
      <c r="D17">
        <v>2022</v>
      </c>
      <c r="E17" t="str">
        <f t="shared" si="4"/>
        <v>FX</v>
      </c>
      <c r="F17">
        <v>1</v>
      </c>
      <c r="G17" s="345">
        <v>0.38400000000000001</v>
      </c>
    </row>
    <row r="18" spans="3:7">
      <c r="C18" t="str">
        <f t="shared" si="3"/>
        <v>P*SOL*PV*</v>
      </c>
      <c r="D18">
        <v>0</v>
      </c>
      <c r="E18" t="str">
        <f t="shared" si="4"/>
        <v>FX</v>
      </c>
      <c r="G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K5"/>
  <sheetViews>
    <sheetView workbookViewId="0">
      <selection activeCell="K6" sqref="K6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B4" t="s">
        <v>223</v>
      </c>
      <c r="C4" t="s">
        <v>505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</v>
      </c>
      <c r="J4" s="348">
        <f>ROUNDUP(Conversions!$B$2*SUM('EB2022'!$AO$70,'EB2022'!$AO$71),1)</f>
        <v>1.9000000000000001</v>
      </c>
      <c r="K4">
        <v>1</v>
      </c>
    </row>
    <row r="5" spans="2:11">
      <c r="B5" t="s">
        <v>223</v>
      </c>
      <c r="C5" t="s">
        <v>592</v>
      </c>
      <c r="D5" t="s">
        <v>200</v>
      </c>
      <c r="E5" s="19" t="str">
        <f>_xlfn.TEXTJOIN(",",TRUE,Regions!$C$3:$D$3)</f>
        <v>IE,National</v>
      </c>
      <c r="F5" s="19">
        <f>ROUNDUP(Conversions!$B$2*SUM('EB2018'!$U$70,'EB2018'!$U$71),1)</f>
        <v>8.5</v>
      </c>
      <c r="G5" s="19">
        <f>ROUNDUP(Conversions!$B$2*SUM('EB2019'!$U$70,'EB2019'!$U$71),1)</f>
        <v>8.6999999999999993</v>
      </c>
      <c r="H5" s="19">
        <f>ROUNDUP(Conversions!$B$2*SUM('EB2020'!$U$70,'EB2020'!$U$71),1)</f>
        <v>8.5</v>
      </c>
      <c r="I5" s="19">
        <f>ROUNDUP(Conversions!$B$2*SUM('EB2021'!$U$70,'EB2021'!$U$71),1)</f>
        <v>8.5</v>
      </c>
      <c r="J5" s="348">
        <f>ROUNDUP(Conversions!$B$2*SUM('EB2022'!$U$70,'EB2022'!$U$71),1)</f>
        <v>12.1</v>
      </c>
      <c r="K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K4"/>
  <sheetViews>
    <sheetView workbookViewId="0">
      <selection activeCell="J5" sqref="J5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507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23.400000000000002</v>
      </c>
      <c r="G4" s="19">
        <f>ROUNDUP(Conversions!$B$2*SUM('EB2019'!$AO$30),1)</f>
        <v>24.1</v>
      </c>
      <c r="H4" s="19">
        <f>ROUNDUP(Conversions!$B$2*SUM('EB2020'!$AO$30),1)</f>
        <v>24.900000000000002</v>
      </c>
      <c r="I4" s="19">
        <f>ROUNDUP(Conversions!$B$2*SUM('EB2021'!$AO$30),1)</f>
        <v>24.700000000000003</v>
      </c>
      <c r="J4" s="19">
        <f>ROUNDUP(Conversions!$B$2*SUM('EB2022'!$AO$30),1)</f>
        <v>24.8</v>
      </c>
      <c r="K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1:Y25"/>
  <sheetViews>
    <sheetView topLeftCell="K1" workbookViewId="0">
      <selection activeCell="T17" sqref="T17"/>
    </sheetView>
  </sheetViews>
  <sheetFormatPr defaultRowHeight="14.5"/>
  <cols>
    <col min="2" max="2" width="9" customWidth="1"/>
    <col min="3" max="3" width="11.81640625" bestFit="1" customWidth="1"/>
    <col min="4" max="4" width="9.26953125" bestFit="1" customWidth="1"/>
    <col min="5" max="5" width="10.7265625" bestFit="1" customWidth="1"/>
    <col min="17" max="17" width="11.81640625" bestFit="1" customWidth="1"/>
  </cols>
  <sheetData>
    <row r="1" spans="2:25">
      <c r="M1" t="s">
        <v>585</v>
      </c>
      <c r="N1" s="431">
        <v>5.0000000000000001E-3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 s="348">
        <f>ROUNDUP(Conversions!$B$2*SUM('EB2022'!$AI$56),1)</f>
        <v>0</v>
      </c>
      <c r="K4">
        <v>1</v>
      </c>
      <c r="P4" s="392" t="s">
        <v>500</v>
      </c>
      <c r="Q4" s="393" t="s">
        <v>453</v>
      </c>
      <c r="R4" s="393" t="s">
        <v>200</v>
      </c>
      <c r="S4" s="394" t="str">
        <f>_xlfn.TEXTJOIN(",",TRUE,Regions!$C$3:$D$3)</f>
        <v>IE,National</v>
      </c>
      <c r="T4" s="394">
        <f>+F4*(1+$N$1)</f>
        <v>0</v>
      </c>
      <c r="U4" s="394">
        <f t="shared" ref="U4:X4" si="0">+G4*(1+$N$1)</f>
        <v>0</v>
      </c>
      <c r="V4" s="394">
        <f t="shared" si="0"/>
        <v>0</v>
      </c>
      <c r="W4" s="394">
        <f t="shared" si="0"/>
        <v>0</v>
      </c>
      <c r="X4" s="395">
        <f t="shared" si="0"/>
        <v>0</v>
      </c>
      <c r="Y4" s="396">
        <v>1</v>
      </c>
    </row>
    <row r="5" spans="2:25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 s="348">
        <f>ROUNDUP(Conversions!$B$2*SUM('EB2022'!$AE$56),1)</f>
        <v>1</v>
      </c>
      <c r="K5">
        <v>1</v>
      </c>
      <c r="P5" s="397" t="s">
        <v>500</v>
      </c>
      <c r="Q5" t="s">
        <v>450</v>
      </c>
      <c r="R5" t="s">
        <v>200</v>
      </c>
      <c r="S5" s="19" t="str">
        <f>_xlfn.TEXTJOIN(",",TRUE,Regions!$C$3:$D$3)</f>
        <v>IE,National</v>
      </c>
      <c r="T5" s="19">
        <f t="shared" ref="T5:T13" si="1">+F5*(1+$N$1)</f>
        <v>1.3065</v>
      </c>
      <c r="U5" s="19">
        <f t="shared" ref="U5:U13" si="2">+G5*(1+$N$1)</f>
        <v>1.1054999999999999</v>
      </c>
      <c r="V5" s="19">
        <f t="shared" ref="V5:V13" si="3">+H5*(1+$N$1)</f>
        <v>1.1054999999999999</v>
      </c>
      <c r="W5" s="19">
        <f t="shared" ref="W5:W13" si="4">+I5*(1+$N$1)</f>
        <v>1.206</v>
      </c>
      <c r="X5" s="348">
        <f t="shared" ref="X5:X13" si="5">+J5*(1+$N$1)</f>
        <v>1.0049999999999999</v>
      </c>
      <c r="Y5" s="398">
        <v>1</v>
      </c>
    </row>
    <row r="6" spans="2:25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 s="348">
        <f>ROUNDUP(Conversions!$B$2*SUM('EB2022'!$C$56),1)</f>
        <v>5.1999999999999993</v>
      </c>
      <c r="K6">
        <v>1</v>
      </c>
      <c r="P6" s="397" t="s">
        <v>500</v>
      </c>
      <c r="Q6" t="s">
        <v>445</v>
      </c>
      <c r="R6" t="s">
        <v>200</v>
      </c>
      <c r="S6" s="19" t="str">
        <f>_xlfn.TEXTJOIN(",",TRUE,Regions!$C$3:$D$3)</f>
        <v>IE,National</v>
      </c>
      <c r="T6" s="19">
        <f t="shared" si="1"/>
        <v>9.1454999999999984</v>
      </c>
      <c r="U6" s="19">
        <f t="shared" si="2"/>
        <v>7.8389999999999986</v>
      </c>
      <c r="V6" s="19">
        <f t="shared" si="3"/>
        <v>8.2409999999999979</v>
      </c>
      <c r="W6" s="19">
        <f t="shared" si="4"/>
        <v>7.8389999999999986</v>
      </c>
      <c r="X6" s="348">
        <f t="shared" si="5"/>
        <v>5.2259999999999991</v>
      </c>
      <c r="Y6" s="398">
        <v>5</v>
      </c>
    </row>
    <row r="7" spans="2:25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 s="348">
        <f>ROUNDUP(Conversions!$B$2*SUM('EB2022'!$H$56),1)</f>
        <v>6.6</v>
      </c>
      <c r="K7">
        <v>1</v>
      </c>
      <c r="P7" s="397" t="s">
        <v>500</v>
      </c>
      <c r="Q7" t="s">
        <v>452</v>
      </c>
      <c r="R7" t="s">
        <v>200</v>
      </c>
      <c r="S7" s="19" t="str">
        <f>_xlfn.TEXTJOIN(",",TRUE,Regions!$C$3:$D$3)</f>
        <v>IE,National</v>
      </c>
      <c r="T7" s="19">
        <f t="shared" si="1"/>
        <v>8.3414999999999981</v>
      </c>
      <c r="U7" s="19">
        <f t="shared" si="2"/>
        <v>7.7384999999999984</v>
      </c>
      <c r="V7" s="19">
        <f t="shared" si="3"/>
        <v>8.0399999999999991</v>
      </c>
      <c r="W7" s="19">
        <f t="shared" si="4"/>
        <v>7.637999999999999</v>
      </c>
      <c r="X7" s="348">
        <f t="shared" si="5"/>
        <v>6.6329999999999991</v>
      </c>
      <c r="Y7" s="398">
        <v>5</v>
      </c>
    </row>
    <row r="8" spans="2:25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31.400000000000002</v>
      </c>
      <c r="I8" s="19">
        <f>ROUNDUP(Conversions!$B$2*SUM('EB2021'!$AO$56),1)</f>
        <v>31.8</v>
      </c>
      <c r="J8" s="348">
        <f>ROUNDUP(Conversions!$B$2*SUM('EB2022'!$AO$56),1)</f>
        <v>30</v>
      </c>
      <c r="K8">
        <v>1</v>
      </c>
      <c r="P8" s="397" t="s">
        <v>500</v>
      </c>
      <c r="Q8" t="s">
        <v>446</v>
      </c>
      <c r="R8" t="s">
        <v>200</v>
      </c>
      <c r="S8" s="19" t="str">
        <f>_xlfn.TEXTJOIN(",",TRUE,Regions!$C$3:$D$3)</f>
        <v>IE,National</v>
      </c>
      <c r="T8" s="19">
        <f t="shared" si="1"/>
        <v>29.647499999999997</v>
      </c>
      <c r="U8" s="19">
        <f t="shared" si="2"/>
        <v>30.953999999999997</v>
      </c>
      <c r="V8" s="19">
        <f t="shared" si="3"/>
        <v>31.556999999999999</v>
      </c>
      <c r="W8" s="19">
        <f t="shared" si="4"/>
        <v>31.958999999999996</v>
      </c>
      <c r="X8" s="348">
        <f t="shared" si="5"/>
        <v>30.15</v>
      </c>
      <c r="Y8" s="398">
        <v>1</v>
      </c>
    </row>
    <row r="9" spans="2:25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 s="348">
        <f>ROUNDUP(Conversions!$B$2*SUM('EB2022'!$AJ$56),1)</f>
        <v>0</v>
      </c>
      <c r="K9">
        <v>1</v>
      </c>
      <c r="P9" s="397" t="s">
        <v>500</v>
      </c>
      <c r="Q9" t="s">
        <v>454</v>
      </c>
      <c r="R9" t="s">
        <v>200</v>
      </c>
      <c r="S9" s="19" t="str">
        <f>_xlfn.TEXTJOIN(",",TRUE,Regions!$C$3:$D$3)</f>
        <v>IE,National</v>
      </c>
      <c r="T9" s="19">
        <f t="shared" si="1"/>
        <v>0</v>
      </c>
      <c r="U9" s="19">
        <f t="shared" si="2"/>
        <v>0</v>
      </c>
      <c r="V9" s="19">
        <f t="shared" si="3"/>
        <v>0</v>
      </c>
      <c r="W9" s="19">
        <f t="shared" si="4"/>
        <v>0</v>
      </c>
      <c r="X9" s="348">
        <f t="shared" si="5"/>
        <v>0</v>
      </c>
      <c r="Y9" s="398">
        <v>1</v>
      </c>
    </row>
    <row r="10" spans="2:25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 s="348">
        <f>ROUNDUP(Conversions!$B$2*SUM('EB2022'!$AA$56),1)</f>
        <v>22.700000000000003</v>
      </c>
      <c r="K10">
        <v>1</v>
      </c>
      <c r="P10" s="397" t="s">
        <v>500</v>
      </c>
      <c r="Q10" t="s">
        <v>447</v>
      </c>
      <c r="R10" t="s">
        <v>200</v>
      </c>
      <c r="S10" s="19" t="str">
        <f>_xlfn.TEXTJOIN(",",TRUE,Regions!$C$3:$D$3)</f>
        <v>IE,National</v>
      </c>
      <c r="T10" s="19">
        <f t="shared" si="1"/>
        <v>25.426499999999997</v>
      </c>
      <c r="U10" s="19">
        <f t="shared" si="2"/>
        <v>24.923999999999999</v>
      </c>
      <c r="V10" s="19">
        <f t="shared" si="3"/>
        <v>24.823499999999999</v>
      </c>
      <c r="W10" s="19">
        <f t="shared" si="4"/>
        <v>25.124999999999996</v>
      </c>
      <c r="X10" s="348">
        <f t="shared" si="5"/>
        <v>22.813500000000001</v>
      </c>
      <c r="Y10" s="398">
        <v>1</v>
      </c>
    </row>
    <row r="11" spans="2:25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 s="348">
        <f>ROUNDUP(Conversions!$B$2*SUM('EB2022'!$AP$56),1)</f>
        <v>0</v>
      </c>
      <c r="K11">
        <v>1</v>
      </c>
      <c r="P11" s="397" t="s">
        <v>500</v>
      </c>
      <c r="Q11" t="s">
        <v>455</v>
      </c>
      <c r="R11" t="s">
        <v>200</v>
      </c>
      <c r="S11" s="19" t="str">
        <f>_xlfn.TEXTJOIN(",",TRUE,Regions!$C$3:$D$3)</f>
        <v>IE,National</v>
      </c>
      <c r="T11" s="19">
        <f t="shared" si="1"/>
        <v>0</v>
      </c>
      <c r="U11" s="19">
        <f t="shared" si="2"/>
        <v>0</v>
      </c>
      <c r="V11" s="19">
        <f t="shared" si="3"/>
        <v>0</v>
      </c>
      <c r="W11" s="19">
        <f t="shared" si="4"/>
        <v>0</v>
      </c>
      <c r="X11" s="348">
        <f t="shared" si="5"/>
        <v>0</v>
      </c>
      <c r="Y11" s="398">
        <v>1</v>
      </c>
    </row>
    <row r="12" spans="2:25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 s="348">
        <f>ROUNDUP(Conversions!$B$2*SUM('EB2022'!$T$56),1)</f>
        <v>1.9000000000000001</v>
      </c>
      <c r="K12">
        <v>1</v>
      </c>
      <c r="P12" s="397" t="s">
        <v>500</v>
      </c>
      <c r="Q12" t="s">
        <v>448</v>
      </c>
      <c r="R12" t="s">
        <v>200</v>
      </c>
      <c r="S12" s="19" t="str">
        <f>_xlfn.TEXTJOIN(",",TRUE,Regions!$C$3:$D$3)</f>
        <v>IE,National</v>
      </c>
      <c r="T12" s="19">
        <f t="shared" si="1"/>
        <v>2.3115000000000001</v>
      </c>
      <c r="U12" s="19">
        <f t="shared" si="2"/>
        <v>2.1105</v>
      </c>
      <c r="V12" s="19">
        <f t="shared" si="3"/>
        <v>2.4119999999999995</v>
      </c>
      <c r="W12" s="19">
        <f t="shared" si="4"/>
        <v>2.1105</v>
      </c>
      <c r="X12" s="348">
        <f t="shared" si="5"/>
        <v>1.9095</v>
      </c>
      <c r="Y12" s="398">
        <v>1</v>
      </c>
    </row>
    <row r="13" spans="2:25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50.5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57.2</v>
      </c>
      <c r="I13" s="19">
        <f>ROUNDUP(Conversions!$B$2*SUM('EB2021'!$Q$56,'EB2021'!$U$56,'EB2021'!$V$56),1)</f>
        <v>52.300000000000004</v>
      </c>
      <c r="J13" s="348">
        <f>ROUNDUP(Conversions!$B$2*SUM('EB2022'!$Q$56,'EB2021'!$U$56,'EB2021'!$V$56),1)</f>
        <v>46.1</v>
      </c>
      <c r="K13">
        <v>1</v>
      </c>
      <c r="P13" s="397" t="s">
        <v>500</v>
      </c>
      <c r="Q13" t="s">
        <v>451</v>
      </c>
      <c r="R13" t="s">
        <v>200</v>
      </c>
      <c r="S13" s="19" t="str">
        <f>_xlfn.TEXTJOIN(",",TRUE,Regions!$C$3:$D$3)</f>
        <v>IE,National</v>
      </c>
      <c r="T13" s="19">
        <f t="shared" si="1"/>
        <v>50.752499999999998</v>
      </c>
      <c r="U13" s="19">
        <f t="shared" si="2"/>
        <v>50.149499999999996</v>
      </c>
      <c r="V13" s="19">
        <f t="shared" si="3"/>
        <v>57.485999999999997</v>
      </c>
      <c r="W13" s="19">
        <f t="shared" si="4"/>
        <v>52.561499999999995</v>
      </c>
      <c r="X13" s="348">
        <f t="shared" si="5"/>
        <v>46.330499999999994</v>
      </c>
      <c r="Y13" s="398">
        <v>5</v>
      </c>
    </row>
    <row r="14" spans="2:25" ht="15" thickBot="1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 s="348">
        <f>ROUNDUP(Conversions!$B$2*SUM('EB2022'!$AL$56),1)</f>
        <v>0.6</v>
      </c>
      <c r="K14">
        <v>1</v>
      </c>
      <c r="P14" s="399" t="s">
        <v>500</v>
      </c>
      <c r="Q14" s="400" t="s">
        <v>587</v>
      </c>
      <c r="R14" s="400" t="s">
        <v>200</v>
      </c>
      <c r="S14" s="401" t="str">
        <f>_xlfn.TEXTJOIN(",",TRUE,Regions!$C$3:$D$3)</f>
        <v>IE,National</v>
      </c>
      <c r="T14" s="401">
        <v>0</v>
      </c>
      <c r="U14" s="401">
        <v>0</v>
      </c>
      <c r="V14" s="401">
        <v>0</v>
      </c>
      <c r="W14" s="401">
        <v>0</v>
      </c>
      <c r="X14" s="402">
        <v>0</v>
      </c>
      <c r="Y14" s="403">
        <v>1</v>
      </c>
    </row>
    <row r="15" spans="2:25">
      <c r="P15" s="392" t="s">
        <v>456</v>
      </c>
      <c r="Q15" s="393" t="s">
        <v>453</v>
      </c>
      <c r="R15" s="393" t="s">
        <v>200</v>
      </c>
      <c r="S15" s="394" t="str">
        <f>_xlfn.TEXTJOIN(",",TRUE,Regions!$C$3:$D$3)</f>
        <v>IE,National</v>
      </c>
      <c r="T15" s="394">
        <f>+F4*(1-$N$1)</f>
        <v>0</v>
      </c>
      <c r="U15" s="394">
        <f t="shared" ref="U15:X15" si="6">+G4*(1-$N$1)</f>
        <v>0</v>
      </c>
      <c r="V15" s="394">
        <f t="shared" si="6"/>
        <v>0</v>
      </c>
      <c r="W15" s="394">
        <f t="shared" si="6"/>
        <v>0</v>
      </c>
      <c r="X15" s="395">
        <f t="shared" si="6"/>
        <v>0</v>
      </c>
      <c r="Y15" s="396">
        <v>1</v>
      </c>
    </row>
    <row r="16" spans="2:25">
      <c r="P16" s="397" t="s">
        <v>486</v>
      </c>
      <c r="Q16" t="s">
        <v>450</v>
      </c>
      <c r="R16" t="s">
        <v>200</v>
      </c>
      <c r="S16" s="19" t="str">
        <f>_xlfn.TEXTJOIN(",",TRUE,Regions!$C$3:$D$3)</f>
        <v>IE,National</v>
      </c>
      <c r="T16" s="19">
        <f>+F5*(1-$N$1)*0.95</f>
        <v>1.2288250000000001</v>
      </c>
      <c r="U16" s="19">
        <f t="shared" ref="U16:U25" si="7">+G5*(1-$N$1)</f>
        <v>1.0945</v>
      </c>
      <c r="V16" s="19">
        <f t="shared" ref="V16:V25" si="8">+H5*(1-$N$1)</f>
        <v>1.0945</v>
      </c>
      <c r="W16" s="19">
        <f t="shared" ref="W16:W25" si="9">+I5*(1-$N$1)</f>
        <v>1.1940000000000002</v>
      </c>
      <c r="X16" s="348">
        <f t="shared" ref="X16:X25" si="10">+J5*(1-$N$1)</f>
        <v>0.995</v>
      </c>
      <c r="Y16" s="398">
        <v>1</v>
      </c>
    </row>
    <row r="17" spans="16:25">
      <c r="P17" s="397" t="s">
        <v>486</v>
      </c>
      <c r="Q17" t="s">
        <v>445</v>
      </c>
      <c r="R17" t="s">
        <v>200</v>
      </c>
      <c r="S17" s="19" t="str">
        <f>_xlfn.TEXTJOIN(",",TRUE,Regions!$C$3:$D$3)</f>
        <v>IE,National</v>
      </c>
      <c r="T17" s="19">
        <f t="shared" ref="T17:T25" si="11">+F6*(1-$N$1)</f>
        <v>9.0544999999999991</v>
      </c>
      <c r="U17" s="19">
        <f t="shared" si="7"/>
        <v>7.7610000000000001</v>
      </c>
      <c r="V17" s="19">
        <f t="shared" si="8"/>
        <v>8.1589999999999989</v>
      </c>
      <c r="W17" s="19">
        <f t="shared" si="9"/>
        <v>7.7610000000000001</v>
      </c>
      <c r="X17" s="348">
        <f t="shared" si="10"/>
        <v>5.1739999999999995</v>
      </c>
      <c r="Y17" s="398">
        <v>1</v>
      </c>
    </row>
    <row r="18" spans="16:25">
      <c r="P18" s="397" t="s">
        <v>486</v>
      </c>
      <c r="Q18" t="s">
        <v>452</v>
      </c>
      <c r="R18" t="s">
        <v>200</v>
      </c>
      <c r="S18" s="19" t="str">
        <f>_xlfn.TEXTJOIN(",",TRUE,Regions!$C$3:$D$3)</f>
        <v>IE,National</v>
      </c>
      <c r="T18" s="19">
        <f>+F7*(1-$N$1)*0.95</f>
        <v>7.8455749999999993</v>
      </c>
      <c r="U18" s="19">
        <f t="shared" si="7"/>
        <v>7.6614999999999993</v>
      </c>
      <c r="V18" s="19">
        <f t="shared" si="8"/>
        <v>7.96</v>
      </c>
      <c r="W18" s="19">
        <f t="shared" si="9"/>
        <v>7.5619999999999994</v>
      </c>
      <c r="X18" s="348">
        <f t="shared" si="10"/>
        <v>6.5669999999999993</v>
      </c>
      <c r="Y18" s="398">
        <v>1</v>
      </c>
    </row>
    <row r="19" spans="16:25">
      <c r="P19" s="397" t="s">
        <v>486</v>
      </c>
      <c r="Q19" t="s">
        <v>446</v>
      </c>
      <c r="R19" t="s">
        <v>200</v>
      </c>
      <c r="S19" s="19" t="str">
        <f>_xlfn.TEXTJOIN(",",TRUE,Regions!$C$3:$D$3)</f>
        <v>IE,National</v>
      </c>
      <c r="T19" s="19">
        <f t="shared" si="11"/>
        <v>29.352499999999999</v>
      </c>
      <c r="U19" s="19">
        <f t="shared" si="7"/>
        <v>30.646000000000001</v>
      </c>
      <c r="V19" s="19">
        <f t="shared" si="8"/>
        <v>31.243000000000002</v>
      </c>
      <c r="W19" s="19">
        <f t="shared" si="9"/>
        <v>31.641000000000002</v>
      </c>
      <c r="X19" s="348">
        <f t="shared" si="10"/>
        <v>29.85</v>
      </c>
      <c r="Y19" s="398">
        <v>1</v>
      </c>
    </row>
    <row r="20" spans="16:25">
      <c r="P20" s="397" t="s">
        <v>456</v>
      </c>
      <c r="Q20" t="s">
        <v>454</v>
      </c>
      <c r="R20" t="s">
        <v>200</v>
      </c>
      <c r="S20" s="19" t="str">
        <f>_xlfn.TEXTJOIN(",",TRUE,Regions!$C$3:$D$3)</f>
        <v>IE,National</v>
      </c>
      <c r="T20" s="19">
        <f t="shared" si="11"/>
        <v>0</v>
      </c>
      <c r="U20" s="19">
        <f t="shared" si="7"/>
        <v>0</v>
      </c>
      <c r="V20" s="19">
        <f t="shared" si="8"/>
        <v>0</v>
      </c>
      <c r="W20" s="19">
        <f t="shared" si="9"/>
        <v>0</v>
      </c>
      <c r="X20" s="348">
        <f t="shared" si="10"/>
        <v>0</v>
      </c>
      <c r="Y20" s="398">
        <v>1</v>
      </c>
    </row>
    <row r="21" spans="16:25">
      <c r="P21" s="397" t="s">
        <v>486</v>
      </c>
      <c r="Q21" t="s">
        <v>447</v>
      </c>
      <c r="R21" t="s">
        <v>200</v>
      </c>
      <c r="S21" s="19" t="str">
        <f>_xlfn.TEXTJOIN(",",TRUE,Regions!$C$3:$D$3)</f>
        <v>IE,National</v>
      </c>
      <c r="T21" s="19">
        <f t="shared" si="11"/>
        <v>25.173500000000001</v>
      </c>
      <c r="U21" s="19">
        <f t="shared" si="7"/>
        <v>24.676000000000002</v>
      </c>
      <c r="V21" s="19">
        <f t="shared" si="8"/>
        <v>24.576500000000003</v>
      </c>
      <c r="W21" s="19">
        <f t="shared" si="9"/>
        <v>24.875</v>
      </c>
      <c r="X21" s="348">
        <f t="shared" si="10"/>
        <v>22.586500000000004</v>
      </c>
      <c r="Y21" s="398">
        <v>1</v>
      </c>
    </row>
    <row r="22" spans="16:25">
      <c r="P22" s="397" t="s">
        <v>456</v>
      </c>
      <c r="Q22" t="s">
        <v>455</v>
      </c>
      <c r="R22" t="s">
        <v>200</v>
      </c>
      <c r="S22" s="19" t="str">
        <f>_xlfn.TEXTJOIN(",",TRUE,Regions!$C$3:$D$3)</f>
        <v>IE,National</v>
      </c>
      <c r="T22" s="19">
        <f t="shared" si="11"/>
        <v>0</v>
      </c>
      <c r="U22" s="19">
        <f t="shared" si="7"/>
        <v>0</v>
      </c>
      <c r="V22" s="19">
        <f t="shared" si="8"/>
        <v>0</v>
      </c>
      <c r="W22" s="19">
        <f t="shared" si="9"/>
        <v>0</v>
      </c>
      <c r="X22" s="348">
        <f t="shared" si="10"/>
        <v>0</v>
      </c>
      <c r="Y22" s="398">
        <v>1</v>
      </c>
    </row>
    <row r="23" spans="16:25">
      <c r="P23" s="397" t="s">
        <v>486</v>
      </c>
      <c r="Q23" t="s">
        <v>448</v>
      </c>
      <c r="R23" t="s">
        <v>200</v>
      </c>
      <c r="S23" s="19" t="str">
        <f>_xlfn.TEXTJOIN(",",TRUE,Regions!$C$3:$D$3)</f>
        <v>IE,National</v>
      </c>
      <c r="T23" s="19">
        <f>+F12*(1-$N$1)*0.9</f>
        <v>2.0596500000000004</v>
      </c>
      <c r="U23" s="19">
        <f t="shared" si="7"/>
        <v>2.0895000000000001</v>
      </c>
      <c r="V23" s="19">
        <f t="shared" si="8"/>
        <v>2.3879999999999999</v>
      </c>
      <c r="W23" s="19">
        <f t="shared" si="9"/>
        <v>2.0895000000000001</v>
      </c>
      <c r="X23" s="348">
        <f t="shared" si="10"/>
        <v>1.8905000000000001</v>
      </c>
      <c r="Y23" s="398">
        <v>1</v>
      </c>
    </row>
    <row r="24" spans="16:25">
      <c r="P24" s="397" t="s">
        <v>486</v>
      </c>
      <c r="Q24" t="s">
        <v>451</v>
      </c>
      <c r="R24" t="s">
        <v>200</v>
      </c>
      <c r="S24" s="19" t="str">
        <f>_xlfn.TEXTJOIN(",",TRUE,Regions!$C$3:$D$3)</f>
        <v>IE,National</v>
      </c>
      <c r="T24" s="19">
        <f t="shared" si="11"/>
        <v>50.247500000000002</v>
      </c>
      <c r="U24" s="19">
        <f t="shared" si="7"/>
        <v>49.650500000000001</v>
      </c>
      <c r="V24" s="19">
        <f t="shared" si="8"/>
        <v>56.914000000000001</v>
      </c>
      <c r="W24" s="19">
        <f t="shared" si="9"/>
        <v>52.038500000000006</v>
      </c>
      <c r="X24" s="348">
        <f t="shared" si="10"/>
        <v>45.869500000000002</v>
      </c>
      <c r="Y24" s="398">
        <v>1</v>
      </c>
    </row>
    <row r="25" spans="16:25" ht="15" thickBot="1">
      <c r="P25" s="399" t="s">
        <v>456</v>
      </c>
      <c r="Q25" s="400" t="s">
        <v>449</v>
      </c>
      <c r="R25" s="400" t="s">
        <v>200</v>
      </c>
      <c r="S25" s="401" t="str">
        <f>_xlfn.TEXTJOIN(",",TRUE,Regions!$C$3:$D$3)</f>
        <v>IE,National</v>
      </c>
      <c r="T25" s="401">
        <f t="shared" si="11"/>
        <v>0.59699999999999998</v>
      </c>
      <c r="U25" s="401">
        <f t="shared" si="7"/>
        <v>0.59699999999999998</v>
      </c>
      <c r="V25" s="401">
        <f t="shared" si="8"/>
        <v>0.59699999999999998</v>
      </c>
      <c r="W25" s="401">
        <f t="shared" si="9"/>
        <v>0.59699999999999998</v>
      </c>
      <c r="X25" s="402">
        <f t="shared" si="10"/>
        <v>0.59699999999999998</v>
      </c>
      <c r="Y25" s="4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1:Y27"/>
  <sheetViews>
    <sheetView tabSelected="1" topLeftCell="K1" workbookViewId="0">
      <selection activeCell="T20" sqref="T20"/>
    </sheetView>
  </sheetViews>
  <sheetFormatPr defaultRowHeight="14.5"/>
  <cols>
    <col min="2" max="2" width="9.26953125" customWidth="1"/>
    <col min="3" max="3" width="11" bestFit="1" customWidth="1"/>
    <col min="4" max="4" width="9.26953125" bestFit="1" customWidth="1"/>
    <col min="5" max="5" width="10.7265625" bestFit="1" customWidth="1"/>
    <col min="17" max="17" width="11" bestFit="1" customWidth="1"/>
  </cols>
  <sheetData>
    <row r="1" spans="2:25">
      <c r="M1" t="s">
        <v>585</v>
      </c>
      <c r="N1" s="431">
        <v>5.4999999999999997E-3</v>
      </c>
    </row>
    <row r="2" spans="2:25">
      <c r="B2" s="28" t="s">
        <v>584</v>
      </c>
      <c r="D2" s="18"/>
      <c r="P2" s="28" t="s">
        <v>199</v>
      </c>
      <c r="R2" s="18"/>
    </row>
    <row r="3" spans="2:25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C4" t="s">
        <v>525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0.9</v>
      </c>
      <c r="I4" s="19">
        <f>ROUNDUP(Conversions!$B$2*SUM('EB2021'!$AM$57),1)</f>
        <v>1</v>
      </c>
      <c r="J4" s="348">
        <f>0.31+ROUNDUP(Conversions!$B$2*SUM('EB2022'!$AM$57),1)</f>
        <v>1.31</v>
      </c>
      <c r="K4">
        <v>1</v>
      </c>
      <c r="P4" s="392" t="s">
        <v>500</v>
      </c>
      <c r="Q4" s="393" t="s">
        <v>525</v>
      </c>
      <c r="R4" s="393" t="s">
        <v>200</v>
      </c>
      <c r="S4" s="394" t="str">
        <f>_xlfn.TEXTJOIN(",",TRUE,Regions!$C$3:$D$3)</f>
        <v>IE,National</v>
      </c>
      <c r="T4" s="394">
        <f>+F4*(1+$N$1)</f>
        <v>0.70384999999999998</v>
      </c>
      <c r="U4" s="394">
        <f t="shared" ref="U4:X15" si="0">+G4*(1+$N$1)</f>
        <v>0.70384999999999998</v>
      </c>
      <c r="V4" s="394">
        <f t="shared" si="0"/>
        <v>0.90495000000000003</v>
      </c>
      <c r="W4" s="394">
        <f t="shared" si="0"/>
        <v>1.0055000000000001</v>
      </c>
      <c r="X4" s="395">
        <f t="shared" si="0"/>
        <v>1.3172050000000002</v>
      </c>
      <c r="Y4" s="396">
        <v>1</v>
      </c>
    </row>
    <row r="5" spans="2:25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 s="348">
        <f>ROUNDUP(Conversions!$B$2*SUM('EB2022'!$AI$57),1)</f>
        <v>0</v>
      </c>
      <c r="K5">
        <v>1</v>
      </c>
      <c r="P5" s="397" t="s">
        <v>500</v>
      </c>
      <c r="Q5" t="s">
        <v>216</v>
      </c>
      <c r="R5" t="s">
        <v>200</v>
      </c>
      <c r="S5" s="19" t="str">
        <f>_xlfn.TEXTJOIN(",",TRUE,Regions!$C$3:$D$3)</f>
        <v>IE,National</v>
      </c>
      <c r="T5" s="19">
        <f t="shared" ref="T5:T15" si="1">+F5*(1+$N$1)</f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  <c r="X5" s="348">
        <f t="shared" si="0"/>
        <v>0</v>
      </c>
      <c r="Y5" s="398">
        <v>1</v>
      </c>
    </row>
    <row r="6" spans="2:25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 s="348">
        <f>ROUNDUP(Conversions!$B$2*SUM('EB2022'!$AH$57),1)</f>
        <v>0.30000000000000004</v>
      </c>
      <c r="K6">
        <v>1</v>
      </c>
      <c r="P6" s="397" t="s">
        <v>500</v>
      </c>
      <c r="Q6" t="s">
        <v>210</v>
      </c>
      <c r="R6" t="s">
        <v>200</v>
      </c>
      <c r="S6" s="19" t="str">
        <f>_xlfn.TEXTJOIN(",",TRUE,Regions!$C$3:$D$3)</f>
        <v>IE,National</v>
      </c>
      <c r="T6" s="19">
        <f t="shared" si="1"/>
        <v>0.30165000000000008</v>
      </c>
      <c r="U6" s="19">
        <f t="shared" si="0"/>
        <v>0.30165000000000008</v>
      </c>
      <c r="V6" s="19">
        <f t="shared" si="0"/>
        <v>0.30165000000000008</v>
      </c>
      <c r="W6" s="19">
        <f t="shared" si="0"/>
        <v>0.30165000000000008</v>
      </c>
      <c r="X6" s="348">
        <f t="shared" si="0"/>
        <v>0.30165000000000008</v>
      </c>
      <c r="Y6" s="398">
        <v>1</v>
      </c>
    </row>
    <row r="7" spans="2:25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 s="348">
        <f>ROUNDUP(Conversions!$B$2*SUM('EB2022'!$AE$57),1)</f>
        <v>0.9</v>
      </c>
      <c r="K7">
        <v>1</v>
      </c>
      <c r="P7" s="397" t="s">
        <v>500</v>
      </c>
      <c r="Q7" t="s">
        <v>211</v>
      </c>
      <c r="R7" t="s">
        <v>200</v>
      </c>
      <c r="S7" s="19" t="str">
        <f>_xlfn.TEXTJOIN(",",TRUE,Regions!$C$3:$D$3)</f>
        <v>IE,National</v>
      </c>
      <c r="T7" s="19">
        <f>+F7*(1+$N$1)*1.03</f>
        <v>0.82853200000000005</v>
      </c>
      <c r="U7" s="19">
        <f t="shared" si="0"/>
        <v>0.60330000000000006</v>
      </c>
      <c r="V7" s="19">
        <f t="shared" si="0"/>
        <v>0.70384999999999998</v>
      </c>
      <c r="W7" s="19">
        <f t="shared" si="0"/>
        <v>0.8044</v>
      </c>
      <c r="X7" s="348">
        <f t="shared" si="0"/>
        <v>0.90495000000000003</v>
      </c>
      <c r="Y7" s="398">
        <v>1</v>
      </c>
    </row>
    <row r="8" spans="2:25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 s="348">
        <f>ROUNDUP(Conversions!$B$2*SUM('EB2022'!$C$57),1)</f>
        <v>0.1</v>
      </c>
      <c r="K8">
        <v>1</v>
      </c>
      <c r="P8" s="397" t="s">
        <v>500</v>
      </c>
      <c r="Q8" t="s">
        <v>212</v>
      </c>
      <c r="R8" t="s">
        <v>200</v>
      </c>
      <c r="S8" s="19" t="str">
        <f>_xlfn.TEXTJOIN(",",TRUE,Regions!$C$3:$D$3)</f>
        <v>IE,National</v>
      </c>
      <c r="T8" s="19">
        <f t="shared" si="1"/>
        <v>0.10055000000000001</v>
      </c>
      <c r="U8" s="19">
        <f t="shared" si="0"/>
        <v>0.10055000000000001</v>
      </c>
      <c r="V8" s="19">
        <f t="shared" si="0"/>
        <v>0.10055000000000001</v>
      </c>
      <c r="W8" s="19">
        <f t="shared" si="0"/>
        <v>0.10055000000000001</v>
      </c>
      <c r="X8" s="348">
        <f t="shared" si="0"/>
        <v>0.10055000000000001</v>
      </c>
      <c r="Y8" s="398">
        <v>5</v>
      </c>
    </row>
    <row r="9" spans="2:25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45.4</v>
      </c>
      <c r="G9" s="19">
        <f>ROUNDUP(Conversions!$B$2*SUM('EB2019'!$AO$57),1)</f>
        <v>46.9</v>
      </c>
      <c r="H9" s="19">
        <f>ROUNDUP(Conversions!$B$2*SUM('EB2020'!$AO$57),1)</f>
        <v>44.6</v>
      </c>
      <c r="I9" s="19">
        <f>ROUNDUP(Conversions!$B$2*SUM('EB2021'!$AO$57),1)</f>
        <v>49.1</v>
      </c>
      <c r="J9" s="348">
        <f>ROUNDUP(Conversions!$B$2*SUM('EB2022'!$AO$57),1)</f>
        <v>53.7</v>
      </c>
      <c r="K9">
        <v>1</v>
      </c>
      <c r="P9" s="397" t="s">
        <v>500</v>
      </c>
      <c r="Q9" t="s">
        <v>217</v>
      </c>
      <c r="R9" t="s">
        <v>200</v>
      </c>
      <c r="S9" s="19" t="str">
        <f>_xlfn.TEXTJOIN(",",TRUE,Regions!$C$3:$D$3)</f>
        <v>IE,National</v>
      </c>
      <c r="T9" s="19">
        <f t="shared" si="1"/>
        <v>45.649700000000003</v>
      </c>
      <c r="U9" s="19">
        <f t="shared" si="0"/>
        <v>47.15795</v>
      </c>
      <c r="V9" s="19">
        <f t="shared" si="0"/>
        <v>44.845300000000002</v>
      </c>
      <c r="W9" s="19">
        <f t="shared" si="0"/>
        <v>49.370050000000006</v>
      </c>
      <c r="X9" s="348">
        <f t="shared" si="0"/>
        <v>53.995350000000009</v>
      </c>
      <c r="Y9" s="398">
        <v>1</v>
      </c>
    </row>
    <row r="10" spans="2:25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 s="348">
        <f>ROUNDUP(Conversions!$B$2*SUM('EB2022'!$AJ$57),1)</f>
        <v>0</v>
      </c>
      <c r="K10">
        <v>1</v>
      </c>
      <c r="P10" s="397" t="s">
        <v>500</v>
      </c>
      <c r="Q10" t="s">
        <v>220</v>
      </c>
      <c r="R10" t="s">
        <v>200</v>
      </c>
      <c r="S10" s="19" t="str">
        <f>_xlfn.TEXTJOIN(",",TRUE,Regions!$C$3:$D$3)</f>
        <v>IE,National</v>
      </c>
      <c r="T10" s="19">
        <f t="shared" si="1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  <c r="X10" s="348">
        <f t="shared" si="0"/>
        <v>0</v>
      </c>
      <c r="Y10" s="398">
        <v>1</v>
      </c>
    </row>
    <row r="11" spans="2:25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14.5</v>
      </c>
      <c r="G11" s="19">
        <f>ROUNDUP(Conversions!$B$2*SUM('EB2019'!$AA$57),1)</f>
        <v>14.2</v>
      </c>
      <c r="H11" s="19">
        <f>ROUNDUP(Conversions!$B$2*SUM('EB2020'!$AA$57),1)</f>
        <v>12.9</v>
      </c>
      <c r="I11" s="19">
        <f>ROUNDUP(Conversions!$B$2*SUM('EB2021'!$AA$57),1)</f>
        <v>14.7</v>
      </c>
      <c r="J11" s="348">
        <f>ROUNDUP(Conversions!$B$2*SUM('EB2022'!$AA$57),1)</f>
        <v>14.4</v>
      </c>
      <c r="K11">
        <v>1</v>
      </c>
      <c r="P11" s="397" t="s">
        <v>500</v>
      </c>
      <c r="Q11" t="s">
        <v>213</v>
      </c>
      <c r="R11" t="s">
        <v>200</v>
      </c>
      <c r="S11" s="19" t="str">
        <f>_xlfn.TEXTJOIN(",",TRUE,Regions!$C$3:$D$3)</f>
        <v>IE,National</v>
      </c>
      <c r="T11" s="19">
        <f t="shared" si="1"/>
        <v>14.579750000000001</v>
      </c>
      <c r="U11" s="19">
        <f t="shared" si="0"/>
        <v>14.2781</v>
      </c>
      <c r="V11" s="19">
        <f t="shared" si="0"/>
        <v>12.970950000000002</v>
      </c>
      <c r="W11" s="19">
        <f t="shared" si="0"/>
        <v>14.780850000000001</v>
      </c>
      <c r="X11" s="348">
        <f t="shared" si="0"/>
        <v>14.479200000000001</v>
      </c>
      <c r="Y11" s="398">
        <v>1</v>
      </c>
    </row>
    <row r="12" spans="2:25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 s="348">
        <f>ROUNDUP(Conversions!$B$2*SUM('EB2022'!$AP$57),1)</f>
        <v>0</v>
      </c>
      <c r="K12">
        <v>1</v>
      </c>
      <c r="P12" s="397" t="s">
        <v>500</v>
      </c>
      <c r="Q12" t="s">
        <v>219</v>
      </c>
      <c r="R12" t="s">
        <v>200</v>
      </c>
      <c r="S12" s="19" t="str">
        <f>_xlfn.TEXTJOIN(",",TRUE,Regions!$C$3:$D$3)</f>
        <v>IE,National</v>
      </c>
      <c r="T12" s="19">
        <f t="shared" si="1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  <c r="X12" s="348">
        <f t="shared" si="0"/>
        <v>0</v>
      </c>
      <c r="Y12" s="398">
        <v>1</v>
      </c>
    </row>
    <row r="13" spans="2:25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2.8000000000000003</v>
      </c>
      <c r="G13" s="19">
        <f>ROUNDUP(Conversions!$B$2*SUM('EB2019'!$T$57),1)</f>
        <v>3</v>
      </c>
      <c r="H13" s="19">
        <f>ROUNDUP(Conversions!$B$2*SUM('EB2020'!$T$57),1)</f>
        <v>2.3000000000000003</v>
      </c>
      <c r="I13" s="19">
        <f>ROUNDUP(Conversions!$B$2*SUM('EB2021'!$T$57),1)</f>
        <v>2.6</v>
      </c>
      <c r="J13" s="348">
        <f>ROUNDUP(Conversions!$B$2*SUM('EB2022'!$T$57),1)</f>
        <v>2.7</v>
      </c>
      <c r="K13">
        <v>1</v>
      </c>
      <c r="P13" s="397" t="s">
        <v>500</v>
      </c>
      <c r="Q13" t="s">
        <v>218</v>
      </c>
      <c r="R13" t="s">
        <v>200</v>
      </c>
      <c r="S13" s="19" t="str">
        <f>_xlfn.TEXTJOIN(",",TRUE,Regions!$C$3:$D$3)</f>
        <v>IE,National</v>
      </c>
      <c r="T13" s="19">
        <f t="shared" si="1"/>
        <v>2.8154000000000003</v>
      </c>
      <c r="U13" s="19">
        <f t="shared" si="0"/>
        <v>3.0165000000000002</v>
      </c>
      <c r="V13" s="19">
        <f t="shared" si="0"/>
        <v>2.3126500000000005</v>
      </c>
      <c r="W13" s="19">
        <f t="shared" si="0"/>
        <v>2.6143000000000001</v>
      </c>
      <c r="X13" s="348">
        <f t="shared" si="0"/>
        <v>2.7148500000000002</v>
      </c>
      <c r="Y13" s="398">
        <v>5</v>
      </c>
    </row>
    <row r="14" spans="2:25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5.8</v>
      </c>
      <c r="I14" s="19">
        <f>ROUNDUP(Conversions!$B$2*SUM('EB2021'!$Q$57,'EB2021'!$S$57,'EB2021'!$U$57),1)</f>
        <v>5.6</v>
      </c>
      <c r="J14" s="348">
        <f>ROUNDUP(Conversions!$B$2*SUM('EB2022'!$Q$57,'EB2021'!$S$57,'EB2021'!$U$57),1)</f>
        <v>5.3</v>
      </c>
      <c r="K14">
        <v>1</v>
      </c>
      <c r="P14" s="397" t="s">
        <v>500</v>
      </c>
      <c r="Q14" t="s">
        <v>215</v>
      </c>
      <c r="R14" t="s">
        <v>200</v>
      </c>
      <c r="S14" s="19" t="str">
        <f>_xlfn.TEXTJOIN(",",TRUE,Regions!$C$3:$D$3)</f>
        <v>IE,National</v>
      </c>
      <c r="T14" s="19">
        <f t="shared" si="1"/>
        <v>7.1390500000000001</v>
      </c>
      <c r="U14" s="19">
        <f t="shared" si="0"/>
        <v>6.4352</v>
      </c>
      <c r="V14" s="19">
        <f t="shared" si="0"/>
        <v>5.8319000000000001</v>
      </c>
      <c r="W14" s="19">
        <f t="shared" si="0"/>
        <v>5.6307999999999998</v>
      </c>
      <c r="X14" s="348">
        <f t="shared" si="0"/>
        <v>5.3291500000000003</v>
      </c>
      <c r="Y14" s="398">
        <v>5</v>
      </c>
    </row>
    <row r="15" spans="2:25" ht="15" thickBot="1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 s="348">
        <f>ROUNDUP(Conversions!$B$2*SUM('EB2022'!$AL$57),1)</f>
        <v>0.1</v>
      </c>
      <c r="K15">
        <v>1</v>
      </c>
      <c r="P15" s="399" t="s">
        <v>500</v>
      </c>
      <c r="Q15" s="400" t="s">
        <v>214</v>
      </c>
      <c r="R15" s="400" t="s">
        <v>200</v>
      </c>
      <c r="S15" s="401" t="str">
        <f>_xlfn.TEXTJOIN(",",TRUE,Regions!$C$3:$D$3)</f>
        <v>IE,National</v>
      </c>
      <c r="T15" s="401">
        <f t="shared" si="1"/>
        <v>0.10055000000000001</v>
      </c>
      <c r="U15" s="401">
        <f t="shared" si="0"/>
        <v>0.10055000000000001</v>
      </c>
      <c r="V15" s="401">
        <f t="shared" si="0"/>
        <v>0.10055000000000001</v>
      </c>
      <c r="W15" s="401">
        <f t="shared" si="0"/>
        <v>0.10055000000000001</v>
      </c>
      <c r="X15" s="402">
        <f t="shared" si="0"/>
        <v>0.10055000000000001</v>
      </c>
      <c r="Y15" s="403">
        <v>1</v>
      </c>
    </row>
    <row r="16" spans="2:25">
      <c r="P16" s="392" t="s">
        <v>456</v>
      </c>
      <c r="Q16" s="393" t="s">
        <v>525</v>
      </c>
      <c r="R16" s="393" t="s">
        <v>200</v>
      </c>
      <c r="S16" s="394" t="str">
        <f>_xlfn.TEXTJOIN(",",TRUE,Regions!$C$3:$D$3)</f>
        <v>IE,National</v>
      </c>
      <c r="T16" s="394">
        <f>+F4*(1-$N$1)</f>
        <v>0.69615000000000005</v>
      </c>
      <c r="U16" s="394">
        <f t="shared" ref="U16:X16" si="2">+G4*(1-$N$1)</f>
        <v>0.69615000000000005</v>
      </c>
      <c r="V16" s="394">
        <f t="shared" si="2"/>
        <v>0.89505000000000001</v>
      </c>
      <c r="W16" s="394">
        <f t="shared" si="2"/>
        <v>0.99450000000000005</v>
      </c>
      <c r="X16" s="395">
        <f t="shared" si="2"/>
        <v>1.3027950000000001</v>
      </c>
      <c r="Y16" s="396">
        <v>1</v>
      </c>
    </row>
    <row r="17" spans="6:25">
      <c r="F17" s="19"/>
      <c r="G17" s="19"/>
      <c r="H17" s="19"/>
      <c r="I17" s="19"/>
      <c r="J17" s="19"/>
      <c r="P17" s="397" t="s">
        <v>456</v>
      </c>
      <c r="Q17" t="s">
        <v>216</v>
      </c>
      <c r="R17" t="s">
        <v>200</v>
      </c>
      <c r="S17" s="19" t="str">
        <f>_xlfn.TEXTJOIN(",",TRUE,Regions!$C$3:$D$3)</f>
        <v>IE,National</v>
      </c>
      <c r="T17" s="19">
        <f t="shared" ref="T17:T27" si="3">+F5*(1-$N$1)</f>
        <v>0</v>
      </c>
      <c r="U17" s="19">
        <f t="shared" ref="U17:U27" si="4">+G5*(1-$N$1)</f>
        <v>0</v>
      </c>
      <c r="V17" s="19">
        <f t="shared" ref="V17:V27" si="5">+H5*(1-$N$1)</f>
        <v>0</v>
      </c>
      <c r="W17" s="19">
        <f t="shared" ref="W17:W27" si="6">+I5*(1-$N$1)</f>
        <v>0</v>
      </c>
      <c r="X17" s="348">
        <f t="shared" ref="X17:X27" si="7">+J5*(1-$N$1)</f>
        <v>0</v>
      </c>
      <c r="Y17" s="398">
        <v>1</v>
      </c>
    </row>
    <row r="18" spans="6:25">
      <c r="P18" s="397" t="s">
        <v>456</v>
      </c>
      <c r="Q18" t="s">
        <v>210</v>
      </c>
      <c r="R18" t="s">
        <v>200</v>
      </c>
      <c r="S18" s="19" t="str">
        <f>_xlfn.TEXTJOIN(",",TRUE,Regions!$C$3:$D$3)</f>
        <v>IE,National</v>
      </c>
      <c r="T18" s="19">
        <f t="shared" si="3"/>
        <v>0.29835000000000006</v>
      </c>
      <c r="U18" s="19">
        <f t="shared" si="4"/>
        <v>0.29835000000000006</v>
      </c>
      <c r="V18" s="19">
        <f t="shared" si="5"/>
        <v>0.29835000000000006</v>
      </c>
      <c r="W18" s="19">
        <f t="shared" si="6"/>
        <v>0.29835000000000006</v>
      </c>
      <c r="X18" s="348">
        <f t="shared" si="7"/>
        <v>0.29835000000000006</v>
      </c>
      <c r="Y18" s="398">
        <v>1</v>
      </c>
    </row>
    <row r="19" spans="6:25">
      <c r="P19" s="397" t="s">
        <v>486</v>
      </c>
      <c r="Q19" t="s">
        <v>211</v>
      </c>
      <c r="R19" t="s">
        <v>200</v>
      </c>
      <c r="S19" s="19" t="str">
        <f>_xlfn.TEXTJOIN(",",TRUE,Regions!$C$3:$D$3)</f>
        <v>IE,National</v>
      </c>
      <c r="T19" s="19">
        <f>+F7*(1-$N$1)*0.93</f>
        <v>0.73990800000000001</v>
      </c>
      <c r="U19" s="19">
        <f t="shared" si="4"/>
        <v>0.59670000000000001</v>
      </c>
      <c r="V19" s="19">
        <f t="shared" si="5"/>
        <v>0.69615000000000005</v>
      </c>
      <c r="W19" s="19">
        <f t="shared" si="6"/>
        <v>0.79559999999999997</v>
      </c>
      <c r="X19" s="348">
        <f t="shared" si="7"/>
        <v>0.89505000000000001</v>
      </c>
      <c r="Y19" s="398">
        <v>1</v>
      </c>
    </row>
    <row r="20" spans="6:25">
      <c r="P20" s="397" t="s">
        <v>456</v>
      </c>
      <c r="Q20" t="s">
        <v>212</v>
      </c>
      <c r="R20" t="s">
        <v>200</v>
      </c>
      <c r="S20" s="19" t="str">
        <f>_xlfn.TEXTJOIN(",",TRUE,Regions!$C$3:$D$3)</f>
        <v>IE,National</v>
      </c>
      <c r="T20" s="19">
        <f t="shared" si="3"/>
        <v>9.9450000000000011E-2</v>
      </c>
      <c r="U20" s="19">
        <f t="shared" si="4"/>
        <v>9.9450000000000011E-2</v>
      </c>
      <c r="V20" s="19">
        <f t="shared" si="5"/>
        <v>9.9450000000000011E-2</v>
      </c>
      <c r="W20" s="19">
        <f t="shared" si="6"/>
        <v>9.9450000000000011E-2</v>
      </c>
      <c r="X20" s="348">
        <f t="shared" si="7"/>
        <v>9.9450000000000011E-2</v>
      </c>
      <c r="Y20" s="398">
        <v>1</v>
      </c>
    </row>
    <row r="21" spans="6:25">
      <c r="P21" s="397" t="s">
        <v>486</v>
      </c>
      <c r="Q21" t="s">
        <v>217</v>
      </c>
      <c r="R21" t="s">
        <v>200</v>
      </c>
      <c r="S21" s="19" t="str">
        <f>_xlfn.TEXTJOIN(",",TRUE,Regions!$C$3:$D$3)</f>
        <v>IE,National</v>
      </c>
      <c r="T21" s="19">
        <f t="shared" si="3"/>
        <v>45.150300000000001</v>
      </c>
      <c r="U21" s="19">
        <f t="shared" si="4"/>
        <v>46.642049999999998</v>
      </c>
      <c r="V21" s="19">
        <f t="shared" si="5"/>
        <v>44.354700000000001</v>
      </c>
      <c r="W21" s="19">
        <f t="shared" si="6"/>
        <v>48.829950000000004</v>
      </c>
      <c r="X21" s="348">
        <f t="shared" si="7"/>
        <v>53.404650000000004</v>
      </c>
      <c r="Y21" s="398">
        <v>1</v>
      </c>
    </row>
    <row r="22" spans="6:25">
      <c r="P22" s="397" t="s">
        <v>456</v>
      </c>
      <c r="Q22" t="s">
        <v>220</v>
      </c>
      <c r="R22" t="s">
        <v>200</v>
      </c>
      <c r="S22" s="19" t="str">
        <f>_xlfn.TEXTJOIN(",",TRUE,Regions!$C$3:$D$3)</f>
        <v>IE,National</v>
      </c>
      <c r="T22" s="19">
        <f t="shared" si="3"/>
        <v>0</v>
      </c>
      <c r="U22" s="19">
        <f t="shared" si="4"/>
        <v>0</v>
      </c>
      <c r="V22" s="19">
        <f t="shared" si="5"/>
        <v>0</v>
      </c>
      <c r="W22" s="19">
        <f t="shared" si="6"/>
        <v>0</v>
      </c>
      <c r="X22" s="348">
        <f t="shared" si="7"/>
        <v>0</v>
      </c>
      <c r="Y22" s="398">
        <v>1</v>
      </c>
    </row>
    <row r="23" spans="6:25">
      <c r="P23" s="397" t="s">
        <v>486</v>
      </c>
      <c r="Q23" t="s">
        <v>213</v>
      </c>
      <c r="R23" t="s">
        <v>200</v>
      </c>
      <c r="S23" s="19" t="str">
        <f>_xlfn.TEXTJOIN(",",TRUE,Regions!$C$3:$D$3)</f>
        <v>IE,National</v>
      </c>
      <c r="T23" s="19">
        <f>+F11*(1-$N$1)*0.97</f>
        <v>13.987642500000002</v>
      </c>
      <c r="U23" s="19">
        <f t="shared" si="4"/>
        <v>14.1219</v>
      </c>
      <c r="V23" s="19">
        <f t="shared" si="5"/>
        <v>12.829050000000001</v>
      </c>
      <c r="W23" s="19">
        <f t="shared" si="6"/>
        <v>14.619149999999999</v>
      </c>
      <c r="X23" s="348">
        <f t="shared" si="7"/>
        <v>14.3208</v>
      </c>
      <c r="Y23" s="398">
        <v>1</v>
      </c>
    </row>
    <row r="24" spans="6:25">
      <c r="P24" s="397" t="s">
        <v>456</v>
      </c>
      <c r="Q24" t="s">
        <v>219</v>
      </c>
      <c r="R24" t="s">
        <v>200</v>
      </c>
      <c r="S24" s="19" t="str">
        <f>_xlfn.TEXTJOIN(",",TRUE,Regions!$C$3:$D$3)</f>
        <v>IE,National</v>
      </c>
      <c r="T24" s="19">
        <f t="shared" si="3"/>
        <v>0</v>
      </c>
      <c r="U24" s="19">
        <f t="shared" si="4"/>
        <v>0</v>
      </c>
      <c r="V24" s="19">
        <f t="shared" si="5"/>
        <v>0</v>
      </c>
      <c r="W24" s="19">
        <f t="shared" si="6"/>
        <v>0</v>
      </c>
      <c r="X24" s="348">
        <f t="shared" si="7"/>
        <v>0</v>
      </c>
      <c r="Y24" s="398">
        <v>1</v>
      </c>
    </row>
    <row r="25" spans="6:25">
      <c r="P25" s="397" t="s">
        <v>486</v>
      </c>
      <c r="Q25" t="s">
        <v>218</v>
      </c>
      <c r="R25" t="s">
        <v>200</v>
      </c>
      <c r="S25" s="19" t="str">
        <f>_xlfn.TEXTJOIN(",",TRUE,Regions!$C$3:$D$3)</f>
        <v>IE,National</v>
      </c>
      <c r="T25" s="19">
        <f t="shared" si="3"/>
        <v>2.7846000000000002</v>
      </c>
      <c r="U25" s="19">
        <f t="shared" si="4"/>
        <v>2.9835000000000003</v>
      </c>
      <c r="V25" s="19">
        <f t="shared" si="5"/>
        <v>2.2873500000000004</v>
      </c>
      <c r="W25" s="19">
        <f t="shared" si="6"/>
        <v>2.5857000000000001</v>
      </c>
      <c r="X25" s="348">
        <f t="shared" si="7"/>
        <v>2.6851500000000001</v>
      </c>
      <c r="Y25" s="398">
        <v>1</v>
      </c>
    </row>
    <row r="26" spans="6:25">
      <c r="P26" s="397" t="s">
        <v>486</v>
      </c>
      <c r="Q26" t="s">
        <v>215</v>
      </c>
      <c r="R26" t="s">
        <v>200</v>
      </c>
      <c r="S26" s="19" t="str">
        <f>_xlfn.TEXTJOIN(",",TRUE,Regions!$C$3:$D$3)</f>
        <v>IE,National</v>
      </c>
      <c r="T26">
        <f t="shared" si="3"/>
        <v>7.0609500000000001</v>
      </c>
      <c r="U26">
        <f t="shared" si="4"/>
        <v>6.3647999999999998</v>
      </c>
      <c r="V26">
        <f t="shared" si="5"/>
        <v>5.7681000000000004</v>
      </c>
      <c r="W26">
        <f t="shared" si="6"/>
        <v>5.5692000000000004</v>
      </c>
      <c r="X26">
        <f t="shared" si="7"/>
        <v>5.2708500000000003</v>
      </c>
      <c r="Y26" s="398">
        <v>1</v>
      </c>
    </row>
    <row r="27" spans="6:25" ht="15" thickBot="1">
      <c r="P27" s="399" t="s">
        <v>456</v>
      </c>
      <c r="Q27" s="400" t="s">
        <v>214</v>
      </c>
      <c r="R27" s="400" t="s">
        <v>200</v>
      </c>
      <c r="S27" s="401" t="str">
        <f>_xlfn.TEXTJOIN(",",TRUE,Regions!$C$3:$D$3)</f>
        <v>IE,National</v>
      </c>
      <c r="T27" s="400">
        <f t="shared" si="3"/>
        <v>9.9450000000000011E-2</v>
      </c>
      <c r="U27" s="400">
        <f t="shared" si="4"/>
        <v>9.9450000000000011E-2</v>
      </c>
      <c r="V27" s="400">
        <f t="shared" si="5"/>
        <v>9.9450000000000011E-2</v>
      </c>
      <c r="W27" s="400">
        <f t="shared" si="6"/>
        <v>9.9450000000000011E-2</v>
      </c>
      <c r="X27" s="400">
        <f t="shared" si="7"/>
        <v>9.9450000000000011E-2</v>
      </c>
      <c r="Y27" s="40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Z68"/>
  <sheetViews>
    <sheetView topLeftCell="C33" workbookViewId="0">
      <selection activeCell="O46" sqref="O46"/>
    </sheetView>
  </sheetViews>
  <sheetFormatPr defaultRowHeight="14.5"/>
  <cols>
    <col min="2" max="2" width="29.81640625" customWidth="1"/>
    <col min="3" max="3" width="10.453125" bestFit="1" customWidth="1"/>
    <col min="4" max="4" width="9.26953125" bestFit="1" customWidth="1"/>
    <col min="5" max="5" width="10.7265625" bestFit="1" customWidth="1"/>
    <col min="8" max="8" width="12.7265625" bestFit="1" customWidth="1"/>
    <col min="9" max="9" width="10.7265625" bestFit="1" customWidth="1"/>
    <col min="18" max="18" width="13.26953125" customWidth="1"/>
  </cols>
  <sheetData>
    <row r="2" spans="2:10">
      <c r="B2" s="34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49" t="s">
        <v>459</v>
      </c>
    </row>
    <row r="4" spans="2:10">
      <c r="G4" t="str">
        <f>IF(RIGHT(B2,1)&lt;&gt;" ","~UC_T","")</f>
        <v>~UC_T</v>
      </c>
    </row>
    <row r="5" spans="2:10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498</v>
      </c>
      <c r="I5" s="353" t="s">
        <v>480</v>
      </c>
      <c r="J5" s="35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515</v>
      </c>
      <c r="F7">
        <v>2018</v>
      </c>
      <c r="G7" t="s">
        <v>500</v>
      </c>
      <c r="H7">
        <v>1</v>
      </c>
      <c r="I7" s="19">
        <f>F49</f>
        <v>5.8999999999999995</v>
      </c>
      <c r="J7" t="s">
        <v>523</v>
      </c>
    </row>
    <row r="8" spans="2:10">
      <c r="F8">
        <v>2019</v>
      </c>
      <c r="G8" t="s">
        <v>500</v>
      </c>
      <c r="I8" s="19">
        <f>G49</f>
        <v>6.8</v>
      </c>
    </row>
    <row r="9" spans="2:10">
      <c r="F9">
        <v>2020</v>
      </c>
      <c r="G9" t="s">
        <v>500</v>
      </c>
      <c r="I9" s="19">
        <f>H49</f>
        <v>6.5</v>
      </c>
    </row>
    <row r="10" spans="2:10">
      <c r="F10">
        <v>2021</v>
      </c>
      <c r="G10" t="s">
        <v>500</v>
      </c>
      <c r="I10" s="19">
        <f>I49</f>
        <v>6.6999999999999993</v>
      </c>
    </row>
    <row r="11" spans="2:10">
      <c r="F11">
        <v>2022</v>
      </c>
      <c r="G11" t="s">
        <v>500</v>
      </c>
      <c r="I11" s="348">
        <f>J49</f>
        <v>8.4</v>
      </c>
    </row>
    <row r="12" spans="2:10">
      <c r="F12">
        <v>0</v>
      </c>
      <c r="I12">
        <f>VLOOKUP("Value", 'CO2-config'!$B$4:$D$14,MATCH($F12,'CO2-config'!$B$6:$D$6,),FALSE)</f>
        <v>1</v>
      </c>
    </row>
    <row r="13" spans="2:10">
      <c r="B13" t="str">
        <f>"UC_Historic_"&amp;C13&amp;"-cons_Multi"</f>
        <v>UC_Historic_TRADST-cons_Multi</v>
      </c>
      <c r="C13" t="s">
        <v>516</v>
      </c>
      <c r="F13">
        <v>2018</v>
      </c>
      <c r="G13" t="s">
        <v>500</v>
      </c>
      <c r="H13">
        <v>1</v>
      </c>
      <c r="I13" s="19">
        <f>F50</f>
        <v>141.89999999999998</v>
      </c>
      <c r="J13" t="s">
        <v>524</v>
      </c>
    </row>
    <row r="14" spans="2:10">
      <c r="F14">
        <v>2019</v>
      </c>
      <c r="G14" t="s">
        <v>500</v>
      </c>
      <c r="I14" s="19">
        <f>G50</f>
        <v>133.22</v>
      </c>
    </row>
    <row r="15" spans="2:10">
      <c r="F15">
        <v>2020</v>
      </c>
      <c r="G15" t="s">
        <v>500</v>
      </c>
      <c r="I15" s="19">
        <f>H50</f>
        <v>113.3</v>
      </c>
    </row>
    <row r="16" spans="2:10">
      <c r="F16">
        <v>2021</v>
      </c>
      <c r="G16" t="s">
        <v>500</v>
      </c>
      <c r="I16" s="19">
        <f>I50</f>
        <v>120.89999999999999</v>
      </c>
    </row>
    <row r="17" spans="2:10">
      <c r="F17">
        <v>2022</v>
      </c>
      <c r="G17" t="s">
        <v>500</v>
      </c>
      <c r="I17" s="348">
        <f>J50</f>
        <v>126.3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UC_Historic_TRAELC-cons_Multi</v>
      </c>
      <c r="C19" t="s">
        <v>508</v>
      </c>
      <c r="F19">
        <v>2018</v>
      </c>
      <c r="G19" t="s">
        <v>500</v>
      </c>
      <c r="H19">
        <v>1</v>
      </c>
      <c r="I19" s="19">
        <f>F51</f>
        <v>0.38300000000000006</v>
      </c>
      <c r="J19" t="s">
        <v>509</v>
      </c>
    </row>
    <row r="20" spans="2:10">
      <c r="F20">
        <v>2019</v>
      </c>
      <c r="G20" t="s">
        <v>500</v>
      </c>
      <c r="I20" s="19">
        <f>G51</f>
        <v>0.52</v>
      </c>
    </row>
    <row r="21" spans="2:10">
      <c r="F21">
        <v>2020</v>
      </c>
      <c r="G21" t="s">
        <v>500</v>
      </c>
      <c r="I21" s="19">
        <f>H51</f>
        <v>0.65</v>
      </c>
    </row>
    <row r="22" spans="2:10">
      <c r="F22">
        <v>2021</v>
      </c>
      <c r="G22" t="s">
        <v>500</v>
      </c>
      <c r="I22" s="19">
        <f>I51</f>
        <v>0.72</v>
      </c>
    </row>
    <row r="23" spans="2:10">
      <c r="F23">
        <v>2022</v>
      </c>
      <c r="G23" t="s">
        <v>500</v>
      </c>
      <c r="I23" s="348">
        <f>J51</f>
        <v>0.79999999999999993</v>
      </c>
    </row>
    <row r="24" spans="2:10">
      <c r="F24">
        <v>0</v>
      </c>
      <c r="I24">
        <f>VLOOKUP("Value", 'CO2-config'!$B$4:$D$14,MATCH($F24,'CO2-config'!$B$6:$D$6,),FALSE)</f>
        <v>1</v>
      </c>
    </row>
    <row r="25" spans="2:10">
      <c r="B25" t="str">
        <f>"UC_Historic_"&amp;C25&amp;"-cons_Multi"</f>
        <v>UC_Historic_TRAETH-cons_Multi</v>
      </c>
      <c r="C25" t="s">
        <v>517</v>
      </c>
      <c r="F25">
        <v>2018</v>
      </c>
      <c r="G25" t="s">
        <v>500</v>
      </c>
      <c r="H25">
        <v>1</v>
      </c>
      <c r="I25" s="19">
        <f>F52</f>
        <v>1.2000000000000002</v>
      </c>
      <c r="J25" t="s">
        <v>522</v>
      </c>
    </row>
    <row r="26" spans="2:10">
      <c r="F26">
        <v>2019</v>
      </c>
      <c r="G26" t="s">
        <v>500</v>
      </c>
      <c r="I26" s="19">
        <f>G52</f>
        <v>1.1000000000000001</v>
      </c>
    </row>
    <row r="27" spans="2:10">
      <c r="F27">
        <v>2020</v>
      </c>
      <c r="G27" t="s">
        <v>500</v>
      </c>
      <c r="I27" s="19">
        <f>H52</f>
        <v>0.9</v>
      </c>
    </row>
    <row r="28" spans="2:10">
      <c r="F28">
        <v>2021</v>
      </c>
      <c r="G28" t="s">
        <v>500</v>
      </c>
      <c r="I28" s="19">
        <f>I52</f>
        <v>0.9</v>
      </c>
    </row>
    <row r="29" spans="2:10">
      <c r="F29">
        <v>2022</v>
      </c>
      <c r="G29" t="s">
        <v>500</v>
      </c>
      <c r="I29" s="348">
        <f>J52</f>
        <v>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UC_Historic_TRAGSL-cons_Multi</v>
      </c>
      <c r="C31" t="s">
        <v>518</v>
      </c>
      <c r="F31">
        <v>2018</v>
      </c>
      <c r="G31" t="s">
        <v>500</v>
      </c>
      <c r="H31">
        <v>1</v>
      </c>
      <c r="I31" s="19">
        <f>F53</f>
        <v>34.4</v>
      </c>
      <c r="J31" t="s">
        <v>521</v>
      </c>
    </row>
    <row r="32" spans="2:10">
      <c r="F32">
        <v>2019</v>
      </c>
      <c r="G32" t="s">
        <v>500</v>
      </c>
      <c r="I32" s="19">
        <f>G53</f>
        <v>32.700000000000003</v>
      </c>
    </row>
    <row r="33" spans="2:26">
      <c r="F33">
        <v>2020</v>
      </c>
      <c r="G33" t="s">
        <v>500</v>
      </c>
      <c r="I33" s="19">
        <f>H53</f>
        <v>27.87</v>
      </c>
    </row>
    <row r="34" spans="2:26">
      <c r="F34">
        <v>2021</v>
      </c>
      <c r="G34" t="s">
        <v>500</v>
      </c>
      <c r="I34" s="19">
        <f>I53</f>
        <v>25.700000000000003</v>
      </c>
    </row>
    <row r="35" spans="2:26">
      <c r="F35">
        <v>2022</v>
      </c>
      <c r="G35" t="s">
        <v>500</v>
      </c>
      <c r="I35" s="348">
        <f>J53</f>
        <v>29.3</v>
      </c>
    </row>
    <row r="36" spans="2:26">
      <c r="F36">
        <v>0</v>
      </c>
      <c r="I36">
        <f>VLOOKUP("Value", 'CO2-config'!$B$4:$D$14,MATCH($F36,'CO2-config'!$B$6:$D$6,),FALSE)</f>
        <v>1</v>
      </c>
    </row>
    <row r="37" spans="2:26">
      <c r="B37" t="str">
        <f>"UC_Historic_"&amp;C37&amp;"-cons_Multi"</f>
        <v>UC_Historic_TRAKER-cons_Multi</v>
      </c>
      <c r="C37" t="s">
        <v>519</v>
      </c>
      <c r="F37">
        <v>2018</v>
      </c>
      <c r="G37" t="s">
        <v>500</v>
      </c>
      <c r="H37">
        <v>1</v>
      </c>
      <c r="I37" s="19">
        <f>F54</f>
        <v>46.202000000000005</v>
      </c>
      <c r="J37" t="s">
        <v>520</v>
      </c>
    </row>
    <row r="38" spans="2:26">
      <c r="F38">
        <v>2019</v>
      </c>
      <c r="G38" t="s">
        <v>500</v>
      </c>
      <c r="I38" s="19">
        <f>G54</f>
        <v>46.800000000000004</v>
      </c>
    </row>
    <row r="39" spans="2:26">
      <c r="F39">
        <v>2020</v>
      </c>
      <c r="G39" t="s">
        <v>500</v>
      </c>
      <c r="I39" s="19">
        <f>H54</f>
        <v>16.700000000000003</v>
      </c>
    </row>
    <row r="40" spans="2:26">
      <c r="F40">
        <v>2021</v>
      </c>
      <c r="G40" t="s">
        <v>500</v>
      </c>
      <c r="I40" s="19">
        <f>I54</f>
        <v>18.700000000000003</v>
      </c>
    </row>
    <row r="41" spans="2:26">
      <c r="F41">
        <v>2022</v>
      </c>
      <c r="G41" t="s">
        <v>500</v>
      </c>
      <c r="I41" s="348">
        <f>J54</f>
        <v>42.7</v>
      </c>
    </row>
    <row r="42" spans="2:26">
      <c r="F42">
        <v>0</v>
      </c>
      <c r="I42">
        <f>VLOOKUP("Value", 'CO2-config'!$B$4:$D$14,MATCH($F42,'CO2-config'!$B$6:$D$6,),FALSE)</f>
        <v>1</v>
      </c>
    </row>
    <row r="46" spans="2:26">
      <c r="N46" t="s">
        <v>585</v>
      </c>
      <c r="O46" s="431">
        <v>5.0000000000000001E-3</v>
      </c>
    </row>
    <row r="47" spans="2:26">
      <c r="B47" s="28" t="s">
        <v>584</v>
      </c>
      <c r="D47" s="18"/>
      <c r="Q47" s="28" t="s">
        <v>199</v>
      </c>
      <c r="S47" s="18"/>
    </row>
    <row r="48" spans="2:26" ht="15" thickBot="1">
      <c r="B48" s="29" t="s">
        <v>227</v>
      </c>
      <c r="C48" s="29" t="s">
        <v>197</v>
      </c>
      <c r="D48" s="29" t="s">
        <v>198</v>
      </c>
      <c r="E48" s="29" t="s">
        <v>156</v>
      </c>
      <c r="F48" s="29">
        <v>2018</v>
      </c>
      <c r="G48" s="29">
        <v>2019</v>
      </c>
      <c r="H48" s="29">
        <v>2020</v>
      </c>
      <c r="I48" s="29">
        <v>2021</v>
      </c>
      <c r="J48" s="29">
        <v>2022</v>
      </c>
      <c r="K48" s="29">
        <v>0</v>
      </c>
      <c r="Q48" s="391" t="s">
        <v>227</v>
      </c>
      <c r="R48" s="391" t="s">
        <v>197</v>
      </c>
      <c r="S48" s="391" t="s">
        <v>198</v>
      </c>
      <c r="T48" s="391" t="s">
        <v>156</v>
      </c>
      <c r="U48" s="391">
        <v>2018</v>
      </c>
      <c r="V48" s="391">
        <v>2019</v>
      </c>
      <c r="W48" s="391">
        <v>2020</v>
      </c>
      <c r="X48" s="391">
        <v>2021</v>
      </c>
      <c r="Y48" s="391">
        <v>2022</v>
      </c>
      <c r="Z48" s="391">
        <v>0</v>
      </c>
    </row>
    <row r="49" spans="3:26">
      <c r="C49" t="s">
        <v>510</v>
      </c>
      <c r="D49" t="s">
        <v>200</v>
      </c>
      <c r="E49" s="19" t="str">
        <f>_xlfn.TEXTJOIN(",",TRUE,Regions!$C$3)</f>
        <v>IE</v>
      </c>
      <c r="F49" s="356">
        <f>ROUNDUP(Conversions!$B$2*SUM('EB2018'!$AI$45),1)+0.5</f>
        <v>5.8999999999999995</v>
      </c>
      <c r="G49" s="19">
        <f>ROUNDUP(Conversions!$B$2*SUM('EB2019'!$AI$45),1)</f>
        <v>6.8</v>
      </c>
      <c r="H49" s="19">
        <f>ROUNDUP(Conversions!$B$2*SUM('EB2020'!$AI$45),1)</f>
        <v>6.5</v>
      </c>
      <c r="I49" s="19">
        <f>ROUNDUP(Conversions!$B$2*SUM('EB2021'!$AI$45),1)</f>
        <v>6.6999999999999993</v>
      </c>
      <c r="J49" s="348">
        <f>ROUNDUP(Conversions!$B$2*SUM('EB2022'!$AI$45),1)</f>
        <v>8.4</v>
      </c>
      <c r="K49">
        <v>1</v>
      </c>
      <c r="Q49" s="392" t="s">
        <v>500</v>
      </c>
      <c r="R49" s="393" t="s">
        <v>510</v>
      </c>
      <c r="S49" s="393" t="s">
        <v>200</v>
      </c>
      <c r="T49" s="394" t="str">
        <f>_xlfn.TEXTJOIN(",",TRUE,Regions!$C$3)</f>
        <v>IE</v>
      </c>
      <c r="U49" s="394">
        <f>+F49*(1+$O$46)</f>
        <v>5.9294999999999991</v>
      </c>
      <c r="V49" s="394">
        <f t="shared" ref="V49:Y49" si="0">+G49*(1+$O$46)</f>
        <v>6.8339999999999987</v>
      </c>
      <c r="W49" s="394">
        <f t="shared" si="0"/>
        <v>6.5324999999999989</v>
      </c>
      <c r="X49" s="394">
        <f t="shared" si="0"/>
        <v>6.7334999999999985</v>
      </c>
      <c r="Y49" s="395">
        <f t="shared" si="0"/>
        <v>8.4420000000000002</v>
      </c>
      <c r="Z49" s="396">
        <v>1</v>
      </c>
    </row>
    <row r="50" spans="3:26">
      <c r="C50" t="s">
        <v>511</v>
      </c>
      <c r="D50" t="s">
        <v>200</v>
      </c>
      <c r="E50" s="19" t="str">
        <f>_xlfn.TEXTJOIN(",",TRUE,Regions!$C$3)</f>
        <v>IE</v>
      </c>
      <c r="F50" s="356">
        <f>11.6+ROUNDUP(Conversions!$B$2*SUM('EB2018'!$U$45),1)</f>
        <v>141.89999999999998</v>
      </c>
      <c r="G50" s="19">
        <f>2.32+ROUNDUP(Conversions!$B$2*SUM('EB2019'!$U$45),1)</f>
        <v>133.22</v>
      </c>
      <c r="H50" s="19">
        <f>ROUNDUP(Conversions!$B$2*SUM('EB2020'!$U$45),1)</f>
        <v>113.3</v>
      </c>
      <c r="I50" s="19">
        <f>ROUNDUP(Conversions!$B$2*SUM('EB2021'!$U$45),1)</f>
        <v>120.89999999999999</v>
      </c>
      <c r="J50" s="348">
        <f>ROUNDUP(Conversions!$B$2*SUM('EB2022'!$U$45),1)</f>
        <v>126.3</v>
      </c>
      <c r="K50">
        <v>1</v>
      </c>
      <c r="Q50" s="397" t="s">
        <v>500</v>
      </c>
      <c r="R50" t="s">
        <v>511</v>
      </c>
      <c r="S50" t="s">
        <v>200</v>
      </c>
      <c r="T50" s="19" t="str">
        <f>_xlfn.TEXTJOIN(",",TRUE,Regions!$C$3)</f>
        <v>IE</v>
      </c>
      <c r="U50" s="19">
        <f t="shared" ref="U50:U54" si="1">+F50*(1+$O$46)</f>
        <v>142.60949999999997</v>
      </c>
      <c r="V50" s="19">
        <f t="shared" ref="V50:V54" si="2">+G50*(1+$O$46)</f>
        <v>133.88609999999997</v>
      </c>
      <c r="W50" s="19">
        <f t="shared" ref="W50:W54" si="3">+H50*(1+$O$46)</f>
        <v>113.86649999999999</v>
      </c>
      <c r="X50" s="19">
        <f t="shared" ref="X50:X54" si="4">+I50*(1+$O$46)</f>
        <v>121.50449999999998</v>
      </c>
      <c r="Y50" s="19">
        <f t="shared" ref="Y50:Y54" si="5">+J50*(1+$O$46)</f>
        <v>126.93149999999999</v>
      </c>
      <c r="Z50" s="398">
        <v>1</v>
      </c>
    </row>
    <row r="51" spans="3:26">
      <c r="C51" t="s">
        <v>506</v>
      </c>
      <c r="D51" t="s">
        <v>200</v>
      </c>
      <c r="E51" s="19" t="str">
        <f>_xlfn.TEXTJOIN(",",TRUE,Regions!$C$3)</f>
        <v>IE</v>
      </c>
      <c r="F51" s="348">
        <f>ROUNDUP(Conversions!$B$2*SUM('EB2018'!$AO$45),1)+0.083</f>
        <v>0.38300000000000006</v>
      </c>
      <c r="G51" s="19">
        <f>0.22+ROUNDUP(Conversions!$B$2*SUM('EB2019'!$AO$45),1)</f>
        <v>0.52</v>
      </c>
      <c r="H51" s="19">
        <f>0.25+ROUNDUP(Conversions!$B$2*SUM('EB2020'!$AO$45),1)</f>
        <v>0.65</v>
      </c>
      <c r="I51" s="19">
        <f>0.12+ROUNDUP(Conversions!$B$2*SUM('EB2021'!$AO$45),1)</f>
        <v>0.72</v>
      </c>
      <c r="J51" s="348">
        <f>ROUNDUP(Conversions!$B$2*SUM('EB2022'!$AO$45),1)</f>
        <v>0.79999999999999993</v>
      </c>
      <c r="K51">
        <v>1</v>
      </c>
      <c r="Q51" s="397" t="s">
        <v>500</v>
      </c>
      <c r="R51" t="s">
        <v>506</v>
      </c>
      <c r="S51" t="s">
        <v>200</v>
      </c>
      <c r="T51" s="19" t="str">
        <f>_xlfn.TEXTJOIN(",",TRUE,Regions!$C$3)</f>
        <v>IE</v>
      </c>
      <c r="U51" s="19">
        <f t="shared" si="1"/>
        <v>0.38491500000000001</v>
      </c>
      <c r="V51" s="19">
        <f t="shared" si="2"/>
        <v>0.52259999999999995</v>
      </c>
      <c r="W51" s="19">
        <f t="shared" si="3"/>
        <v>0.65325</v>
      </c>
      <c r="X51" s="19">
        <f t="shared" si="4"/>
        <v>0.72359999999999991</v>
      </c>
      <c r="Y51" s="19">
        <f t="shared" si="5"/>
        <v>0.80399999999999983</v>
      </c>
      <c r="Z51" s="398">
        <v>1</v>
      </c>
    </row>
    <row r="52" spans="3:26">
      <c r="C52" t="s">
        <v>512</v>
      </c>
      <c r="D52" t="s">
        <v>200</v>
      </c>
      <c r="E52" s="19" t="str">
        <f>_xlfn.TEXTJOIN(",",TRUE,Regions!$C$3)</f>
        <v>IE</v>
      </c>
      <c r="F52" s="356">
        <f>ROUNDUP(Conversions!$B$2*SUM('EB2018'!$AJ$45),1)</f>
        <v>1.2000000000000002</v>
      </c>
      <c r="G52" s="19">
        <f>ROUNDUP(Conversions!$B$2*SUM('EB2019'!$AJ$45),1)</f>
        <v>1.1000000000000001</v>
      </c>
      <c r="H52" s="19">
        <f>ROUNDUP(Conversions!$B$2*SUM('EB2020'!$AJ$45),1)</f>
        <v>0.9</v>
      </c>
      <c r="I52" s="19">
        <f>ROUNDUP(Conversions!$B$2*SUM('EB2021'!$AJ$45),1)</f>
        <v>0.9</v>
      </c>
      <c r="J52" s="348">
        <f>ROUNDUP(Conversions!$B$2*SUM('EB2022'!$AJ$45),1)</f>
        <v>1</v>
      </c>
      <c r="K52">
        <v>1</v>
      </c>
      <c r="Q52" s="397" t="s">
        <v>500</v>
      </c>
      <c r="R52" t="s">
        <v>512</v>
      </c>
      <c r="S52" t="s">
        <v>200</v>
      </c>
      <c r="T52" s="19" t="str">
        <f>_xlfn.TEXTJOIN(",",TRUE,Regions!$C$3)</f>
        <v>IE</v>
      </c>
      <c r="U52" s="19">
        <f t="shared" si="1"/>
        <v>1.206</v>
      </c>
      <c r="V52" s="19">
        <f t="shared" si="2"/>
        <v>1.1054999999999999</v>
      </c>
      <c r="W52" s="19">
        <f t="shared" si="3"/>
        <v>0.90449999999999997</v>
      </c>
      <c r="X52" s="19">
        <f t="shared" si="4"/>
        <v>0.90449999999999997</v>
      </c>
      <c r="Y52" s="19">
        <f t="shared" si="5"/>
        <v>1.0049999999999999</v>
      </c>
      <c r="Z52" s="398">
        <v>1</v>
      </c>
    </row>
    <row r="53" spans="3:26">
      <c r="C53" t="s">
        <v>513</v>
      </c>
      <c r="D53" t="s">
        <v>200</v>
      </c>
      <c r="E53" s="19" t="str">
        <f>_xlfn.TEXTJOIN(",",TRUE,Regions!$C$3)</f>
        <v>IE</v>
      </c>
      <c r="F53" s="356">
        <f>ROUNDUP(Conversions!$B$2*SUM('EB2018'!$P$45),1)</f>
        <v>34.4</v>
      </c>
      <c r="G53" s="19">
        <f>ROUNDUP(Conversions!$B$2*SUM('EB2019'!$P$45),1)</f>
        <v>32.700000000000003</v>
      </c>
      <c r="H53" s="19">
        <f>3.57+ROUNDUP(Conversions!$B$2*SUM('EB2020'!$P$45),1)</f>
        <v>27.87</v>
      </c>
      <c r="I53" s="19">
        <f>ROUNDUP(Conversions!$B$2*SUM('EB2021'!$P$45),1)</f>
        <v>25.700000000000003</v>
      </c>
      <c r="J53" s="348">
        <f>ROUNDUP(Conversions!$B$2*SUM('EB2022'!$P$45),1)</f>
        <v>29.3</v>
      </c>
      <c r="K53">
        <v>1</v>
      </c>
      <c r="Q53" s="397" t="s">
        <v>500</v>
      </c>
      <c r="R53" t="s">
        <v>513</v>
      </c>
      <c r="S53" t="s">
        <v>200</v>
      </c>
      <c r="T53" s="19" t="str">
        <f>_xlfn.TEXTJOIN(",",TRUE,Regions!$C$3)</f>
        <v>IE</v>
      </c>
      <c r="U53" s="19">
        <f t="shared" si="1"/>
        <v>34.571999999999996</v>
      </c>
      <c r="V53" s="19">
        <f t="shared" si="2"/>
        <v>32.863500000000002</v>
      </c>
      <c r="W53" s="19">
        <f t="shared" si="3"/>
        <v>28.009349999999998</v>
      </c>
      <c r="X53" s="19">
        <f t="shared" si="4"/>
        <v>25.828500000000002</v>
      </c>
      <c r="Y53" s="19">
        <f t="shared" si="5"/>
        <v>29.446499999999997</v>
      </c>
      <c r="Z53" s="398">
        <v>1</v>
      </c>
    </row>
    <row r="54" spans="3:26" ht="15" thickBot="1">
      <c r="C54" t="s">
        <v>514</v>
      </c>
      <c r="D54" t="s">
        <v>200</v>
      </c>
      <c r="E54" s="19" t="str">
        <f>_xlfn.TEXTJOIN(",",TRUE,Regions!$C$3)</f>
        <v>IE</v>
      </c>
      <c r="F54" s="356">
        <f>ROUNDUP(Conversions!$B$2*SUM('EB2018'!$R$45),1)+0.002</f>
        <v>46.202000000000005</v>
      </c>
      <c r="G54" s="19">
        <f>ROUNDUP(Conversions!$B$2*SUM('EB2019'!$R$45),1)</f>
        <v>46.800000000000004</v>
      </c>
      <c r="H54" s="19">
        <f>ROUNDUP(Conversions!$B$2*SUM('EB2020'!$R$45),1)</f>
        <v>16.700000000000003</v>
      </c>
      <c r="I54" s="19">
        <f>ROUNDUP(Conversions!$B$2*SUM('EB2021'!$R$45),1)</f>
        <v>18.700000000000003</v>
      </c>
      <c r="J54" s="348">
        <f>ROUNDUP(Conversions!$B$2*SUM('EB2022'!$R$45),1)</f>
        <v>42.7</v>
      </c>
      <c r="K54">
        <v>1</v>
      </c>
      <c r="Q54" s="399" t="s">
        <v>500</v>
      </c>
      <c r="R54" s="400" t="s">
        <v>514</v>
      </c>
      <c r="S54" s="400" t="s">
        <v>200</v>
      </c>
      <c r="T54" s="401" t="str">
        <f>_xlfn.TEXTJOIN(",",TRUE,Regions!$C$3)</f>
        <v>IE</v>
      </c>
      <c r="U54" s="401">
        <f t="shared" si="1"/>
        <v>46.433010000000003</v>
      </c>
      <c r="V54" s="401">
        <f t="shared" si="2"/>
        <v>47.033999999999999</v>
      </c>
      <c r="W54" s="401">
        <f t="shared" si="3"/>
        <v>16.7835</v>
      </c>
      <c r="X54" s="401">
        <f t="shared" si="4"/>
        <v>18.793500000000002</v>
      </c>
      <c r="Y54" s="401">
        <f t="shared" si="5"/>
        <v>42.913499999999999</v>
      </c>
      <c r="Z54" s="403">
        <v>1</v>
      </c>
    </row>
    <row r="55" spans="3:26">
      <c r="Q55" s="392" t="s">
        <v>486</v>
      </c>
      <c r="R55" s="393" t="s">
        <v>510</v>
      </c>
      <c r="S55" s="393" t="s">
        <v>200</v>
      </c>
      <c r="T55" s="394" t="str">
        <f>_xlfn.TEXTJOIN(",",TRUE,Regions!$C$3)</f>
        <v>IE</v>
      </c>
      <c r="U55" s="394">
        <f>+F49*(1-$O$46)</f>
        <v>5.8704999999999998</v>
      </c>
      <c r="V55" s="394">
        <f t="shared" ref="V55:Y55" si="6">+G49*(1-$O$46)</f>
        <v>6.766</v>
      </c>
      <c r="W55" s="394">
        <f t="shared" si="6"/>
        <v>6.4675000000000002</v>
      </c>
      <c r="X55" s="394">
        <f t="shared" si="6"/>
        <v>6.6664999999999992</v>
      </c>
      <c r="Y55" s="394">
        <f t="shared" si="6"/>
        <v>8.3580000000000005</v>
      </c>
      <c r="Z55" s="396">
        <v>1</v>
      </c>
    </row>
    <row r="56" spans="3:26">
      <c r="N56" s="429"/>
      <c r="Q56" s="397" t="s">
        <v>486</v>
      </c>
      <c r="R56" t="s">
        <v>511</v>
      </c>
      <c r="S56" t="s">
        <v>200</v>
      </c>
      <c r="T56" s="19" t="str">
        <f>_xlfn.TEXTJOIN(",",TRUE,Regions!$C$3)</f>
        <v>IE</v>
      </c>
      <c r="U56" s="19">
        <f t="shared" ref="U56:U60" si="7">+F50*(1-$O$46)</f>
        <v>141.19049999999999</v>
      </c>
      <c r="V56" s="19">
        <f t="shared" ref="V56:V60" si="8">+G50*(1-$O$46)</f>
        <v>132.5539</v>
      </c>
      <c r="W56" s="19">
        <f t="shared" ref="W56:W60" si="9">+H50*(1-$O$46)</f>
        <v>112.73349999999999</v>
      </c>
      <c r="X56" s="19">
        <f t="shared" ref="X56:X60" si="10">+I50*(1-$O$46)</f>
        <v>120.29549999999999</v>
      </c>
      <c r="Y56" s="19">
        <f t="shared" ref="Y56:Y60" si="11">+J50*(1-$O$46)</f>
        <v>125.66849999999999</v>
      </c>
      <c r="Z56" s="398">
        <v>1</v>
      </c>
    </row>
    <row r="57" spans="3:26">
      <c r="N57" s="429"/>
      <c r="Q57" s="397" t="s">
        <v>486</v>
      </c>
      <c r="R57" t="s">
        <v>506</v>
      </c>
      <c r="S57" t="s">
        <v>200</v>
      </c>
      <c r="T57" s="19" t="str">
        <f>_xlfn.TEXTJOIN(",",TRUE,Regions!$C$3)</f>
        <v>IE</v>
      </c>
      <c r="U57" s="19">
        <f t="shared" si="7"/>
        <v>0.38108500000000006</v>
      </c>
      <c r="V57" s="19">
        <f t="shared" si="8"/>
        <v>0.51739999999999997</v>
      </c>
      <c r="W57" s="19">
        <f t="shared" si="9"/>
        <v>0.64675000000000005</v>
      </c>
      <c r="X57" s="19">
        <f t="shared" si="10"/>
        <v>0.71639999999999993</v>
      </c>
      <c r="Y57" s="19">
        <f t="shared" si="11"/>
        <v>0.79599999999999993</v>
      </c>
      <c r="Z57" s="398">
        <v>1</v>
      </c>
    </row>
    <row r="58" spans="3:26">
      <c r="N58" s="429"/>
      <c r="Q58" s="397" t="s">
        <v>486</v>
      </c>
      <c r="R58" t="s">
        <v>512</v>
      </c>
      <c r="S58" t="s">
        <v>200</v>
      </c>
      <c r="T58" s="19" t="str">
        <f>_xlfn.TEXTJOIN(",",TRUE,Regions!$C$3)</f>
        <v>IE</v>
      </c>
      <c r="U58" s="19">
        <f t="shared" si="7"/>
        <v>1.1940000000000002</v>
      </c>
      <c r="V58" s="19">
        <f t="shared" si="8"/>
        <v>1.0945</v>
      </c>
      <c r="W58" s="19">
        <f t="shared" si="9"/>
        <v>0.89549999999999996</v>
      </c>
      <c r="X58" s="19">
        <f t="shared" si="10"/>
        <v>0.89549999999999996</v>
      </c>
      <c r="Y58" s="19">
        <f t="shared" si="11"/>
        <v>0.995</v>
      </c>
      <c r="Z58" s="398">
        <v>1</v>
      </c>
    </row>
    <row r="59" spans="3:26">
      <c r="N59" s="429"/>
      <c r="Q59" s="397" t="s">
        <v>486</v>
      </c>
      <c r="R59" t="s">
        <v>513</v>
      </c>
      <c r="S59" t="s">
        <v>200</v>
      </c>
      <c r="T59" s="19" t="str">
        <f>_xlfn.TEXTJOIN(",",TRUE,Regions!$C$3)</f>
        <v>IE</v>
      </c>
      <c r="U59" s="19">
        <f t="shared" si="7"/>
        <v>34.228000000000002</v>
      </c>
      <c r="V59" s="19">
        <f t="shared" si="8"/>
        <v>32.536500000000004</v>
      </c>
      <c r="W59" s="19">
        <f t="shared" si="9"/>
        <v>27.730650000000001</v>
      </c>
      <c r="X59" s="19">
        <f t="shared" si="10"/>
        <v>25.571500000000004</v>
      </c>
      <c r="Y59" s="19">
        <f t="shared" si="11"/>
        <v>29.153500000000001</v>
      </c>
      <c r="Z59" s="398">
        <v>1</v>
      </c>
    </row>
    <row r="60" spans="3:26" ht="15" thickBot="1">
      <c r="N60" s="429"/>
      <c r="Q60" s="399" t="s">
        <v>486</v>
      </c>
      <c r="R60" s="400" t="s">
        <v>514</v>
      </c>
      <c r="S60" s="400" t="s">
        <v>200</v>
      </c>
      <c r="T60" s="401" t="str">
        <f>_xlfn.TEXTJOIN(",",TRUE,Regions!$C$3)</f>
        <v>IE</v>
      </c>
      <c r="U60" s="401">
        <f t="shared" si="7"/>
        <v>45.970990000000008</v>
      </c>
      <c r="V60" s="401">
        <f t="shared" si="8"/>
        <v>46.566000000000003</v>
      </c>
      <c r="W60" s="401">
        <f t="shared" si="9"/>
        <v>16.616500000000002</v>
      </c>
      <c r="X60" s="401">
        <f t="shared" si="10"/>
        <v>18.606500000000004</v>
      </c>
      <c r="Y60" s="401">
        <f t="shared" si="11"/>
        <v>42.486499999999999</v>
      </c>
      <c r="Z60" s="403">
        <v>1</v>
      </c>
    </row>
    <row r="61" spans="3:26">
      <c r="N61" s="429"/>
      <c r="Q61" s="397" t="s">
        <v>500</v>
      </c>
      <c r="R61" s="429" t="s">
        <v>588</v>
      </c>
      <c r="S61" t="s">
        <v>200</v>
      </c>
      <c r="T61" t="s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398">
        <v>1</v>
      </c>
    </row>
    <row r="62" spans="3:26">
      <c r="N62" s="429"/>
      <c r="Q62" s="397" t="s">
        <v>500</v>
      </c>
      <c r="R62" s="429" t="s">
        <v>589</v>
      </c>
      <c r="S62" t="s">
        <v>200</v>
      </c>
      <c r="T62" t="s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398">
        <v>1</v>
      </c>
    </row>
    <row r="63" spans="3:26">
      <c r="N63" s="429"/>
      <c r="Q63" s="397" t="s">
        <v>500</v>
      </c>
      <c r="R63" s="429" t="s">
        <v>590</v>
      </c>
      <c r="S63" t="s">
        <v>200</v>
      </c>
      <c r="T63" t="s">
        <v>1</v>
      </c>
      <c r="U63">
        <v>0</v>
      </c>
      <c r="V63">
        <v>0</v>
      </c>
      <c r="W63">
        <v>0</v>
      </c>
      <c r="X63">
        <v>0</v>
      </c>
      <c r="Y63">
        <v>0</v>
      </c>
      <c r="Z63" s="398">
        <v>1</v>
      </c>
    </row>
    <row r="64" spans="3:26">
      <c r="N64" s="429"/>
      <c r="Q64" s="397" t="s">
        <v>500</v>
      </c>
      <c r="R64" s="429" t="s">
        <v>591</v>
      </c>
      <c r="S64" t="s">
        <v>200</v>
      </c>
      <c r="T64" t="s">
        <v>1</v>
      </c>
      <c r="U64">
        <v>0</v>
      </c>
      <c r="V64">
        <v>0</v>
      </c>
      <c r="W64">
        <v>0</v>
      </c>
      <c r="X64">
        <v>0</v>
      </c>
      <c r="Y64">
        <v>0</v>
      </c>
      <c r="Z64" s="398">
        <v>1</v>
      </c>
    </row>
    <row r="65" spans="14:14">
      <c r="N65" s="429"/>
    </row>
    <row r="66" spans="14:14">
      <c r="N66" s="429"/>
    </row>
    <row r="67" spans="14:14">
      <c r="N67" s="429"/>
    </row>
    <row r="68" spans="14:14">
      <c r="N68" s="43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J107"/>
  <sheetViews>
    <sheetView topLeftCell="A84" zoomScale="85" zoomScaleNormal="85" workbookViewId="0">
      <selection activeCell="J118" sqref="J118"/>
    </sheetView>
  </sheetViews>
  <sheetFormatPr defaultRowHeight="14.5"/>
  <cols>
    <col min="1" max="1" width="20.54296875" bestFit="1" customWidth="1"/>
    <col min="2" max="2" width="20.54296875" customWidth="1"/>
    <col min="4" max="4" width="10.1796875" bestFit="1" customWidth="1"/>
    <col min="5" max="5" width="8.81640625" bestFit="1" customWidth="1"/>
    <col min="6" max="6" width="10.81640625" bestFit="1" customWidth="1"/>
    <col min="7" max="7" width="8.7265625" customWidth="1"/>
    <col min="8" max="8" width="10.7265625" bestFit="1" customWidth="1"/>
    <col min="9" max="34" width="6.81640625" customWidth="1"/>
    <col min="35" max="35" width="21.7265625" customWidth="1"/>
  </cols>
  <sheetData>
    <row r="1" spans="1:36" ht="21">
      <c r="C1" s="39" t="s">
        <v>539</v>
      </c>
    </row>
    <row r="2" spans="1:36" ht="21">
      <c r="C2" s="39"/>
    </row>
    <row r="3" spans="1:36">
      <c r="C3" t="s">
        <v>230</v>
      </c>
    </row>
    <row r="4" spans="1:36">
      <c r="D4" s="38" t="s">
        <v>229</v>
      </c>
      <c r="I4" s="37"/>
      <c r="J4" s="36"/>
      <c r="K4" s="36"/>
      <c r="L4" s="36"/>
      <c r="M4" s="36"/>
      <c r="O4" s="36"/>
      <c r="P4" s="36"/>
    </row>
    <row r="5" spans="1:36" ht="15" thickBot="1">
      <c r="D5" s="35" t="s">
        <v>228</v>
      </c>
      <c r="E5" s="35" t="s">
        <v>227</v>
      </c>
      <c r="F5" s="35" t="s">
        <v>198</v>
      </c>
      <c r="G5" s="35" t="s">
        <v>226</v>
      </c>
      <c r="H5" s="34" t="str">
        <f>Regions!C$3</f>
        <v>IE</v>
      </c>
      <c r="I5" s="34" t="str">
        <f>Regions!E$3</f>
        <v>IE-CW</v>
      </c>
      <c r="J5" s="34" t="str">
        <f>Regions!F$3</f>
        <v>IE-D</v>
      </c>
      <c r="K5" s="34" t="str">
        <f>Regions!G$3</f>
        <v>IE-KE</v>
      </c>
      <c r="L5" s="34" t="str">
        <f>Regions!H$3</f>
        <v>IE-KK</v>
      </c>
      <c r="M5" s="34" t="str">
        <f>Regions!I$3</f>
        <v>IE-LS</v>
      </c>
      <c r="N5" s="34" t="str">
        <f>Regions!J$3</f>
        <v>IE-LD</v>
      </c>
      <c r="O5" s="34" t="str">
        <f>Regions!K$3</f>
        <v>IE-LH</v>
      </c>
      <c r="P5" s="34" t="str">
        <f>Regions!L$3</f>
        <v>IE-MH</v>
      </c>
      <c r="Q5" s="34" t="str">
        <f>Regions!M$3</f>
        <v>IE-OY</v>
      </c>
      <c r="R5" s="34" t="str">
        <f>Regions!N$3</f>
        <v>IE-WH</v>
      </c>
      <c r="S5" s="34" t="str">
        <f>Regions!O$3</f>
        <v>IE-WX</v>
      </c>
      <c r="T5" s="34" t="str">
        <f>Regions!P$3</f>
        <v>IE-WW</v>
      </c>
      <c r="U5" s="34" t="str">
        <f>Regions!Q$3</f>
        <v>IE-CE</v>
      </c>
      <c r="V5" s="34" t="str">
        <f>Regions!R$3</f>
        <v>IE-CO</v>
      </c>
      <c r="W5" s="34" t="str">
        <f>Regions!S$3</f>
        <v>IE-KY</v>
      </c>
      <c r="X5" s="34" t="str">
        <f>Regions!T$3</f>
        <v>IE-LK</v>
      </c>
      <c r="Y5" s="34" t="str">
        <f>Regions!U$3</f>
        <v>IE-TA</v>
      </c>
      <c r="Z5" s="34" t="str">
        <f>Regions!V$3</f>
        <v>IE-WD</v>
      </c>
      <c r="AA5" s="34" t="str">
        <f>Regions!W$3</f>
        <v>IE-G</v>
      </c>
      <c r="AB5" s="34" t="str">
        <f>Regions!X$3</f>
        <v>IE-LM</v>
      </c>
      <c r="AC5" s="34" t="str">
        <f>Regions!Y$3</f>
        <v>IE-MO</v>
      </c>
      <c r="AD5" s="34" t="str">
        <f>Regions!Z$3</f>
        <v>IE-RN</v>
      </c>
      <c r="AE5" s="34" t="str">
        <f>Regions!AA$3</f>
        <v>IE-SO</v>
      </c>
      <c r="AF5" s="34" t="str">
        <f>Regions!AB$3</f>
        <v>IE-CN</v>
      </c>
      <c r="AG5" s="34" t="str">
        <f>Regions!AC$3</f>
        <v>IE-DL</v>
      </c>
      <c r="AH5" s="34" t="str">
        <f>Regions!AD$3</f>
        <v>IE-MN</v>
      </c>
      <c r="AI5" s="33" t="s">
        <v>225</v>
      </c>
      <c r="AJ5" s="33" t="s">
        <v>224</v>
      </c>
    </row>
    <row r="6" spans="1:36">
      <c r="A6" t="str">
        <f>AI6</f>
        <v>T-CAR*, T-LGT*, T-HGT*</v>
      </c>
      <c r="E6" t="s">
        <v>223</v>
      </c>
      <c r="F6" t="s">
        <v>222</v>
      </c>
      <c r="G6">
        <v>2019</v>
      </c>
      <c r="H6" s="32">
        <v>0</v>
      </c>
      <c r="I6" s="364">
        <f>H6</f>
        <v>0</v>
      </c>
      <c r="J6" s="364">
        <f t="shared" ref="J6:AH6" si="0">I6</f>
        <v>0</v>
      </c>
      <c r="K6" s="364">
        <f t="shared" si="0"/>
        <v>0</v>
      </c>
      <c r="L6" s="364">
        <f t="shared" si="0"/>
        <v>0</v>
      </c>
      <c r="M6" s="364">
        <f t="shared" si="0"/>
        <v>0</v>
      </c>
      <c r="N6" s="364">
        <f t="shared" si="0"/>
        <v>0</v>
      </c>
      <c r="O6" s="364">
        <f t="shared" si="0"/>
        <v>0</v>
      </c>
      <c r="P6" s="364">
        <f t="shared" si="0"/>
        <v>0</v>
      </c>
      <c r="Q6" s="364">
        <f t="shared" si="0"/>
        <v>0</v>
      </c>
      <c r="R6" s="364">
        <f t="shared" si="0"/>
        <v>0</v>
      </c>
      <c r="S6" s="364">
        <f t="shared" si="0"/>
        <v>0</v>
      </c>
      <c r="T6" s="364">
        <f t="shared" si="0"/>
        <v>0</v>
      </c>
      <c r="U6" s="364">
        <f t="shared" si="0"/>
        <v>0</v>
      </c>
      <c r="V6" s="364">
        <f t="shared" si="0"/>
        <v>0</v>
      </c>
      <c r="W6" s="364">
        <f t="shared" si="0"/>
        <v>0</v>
      </c>
      <c r="X6" s="364">
        <f t="shared" si="0"/>
        <v>0</v>
      </c>
      <c r="Y6" s="364">
        <f t="shared" si="0"/>
        <v>0</v>
      </c>
      <c r="Z6" s="364">
        <f t="shared" si="0"/>
        <v>0</v>
      </c>
      <c r="AA6" s="364">
        <f t="shared" si="0"/>
        <v>0</v>
      </c>
      <c r="AB6" s="364">
        <f t="shared" si="0"/>
        <v>0</v>
      </c>
      <c r="AC6" s="364">
        <f t="shared" si="0"/>
        <v>0</v>
      </c>
      <c r="AD6" s="364">
        <f t="shared" si="0"/>
        <v>0</v>
      </c>
      <c r="AE6" s="364">
        <f t="shared" si="0"/>
        <v>0</v>
      </c>
      <c r="AF6" s="364">
        <f t="shared" si="0"/>
        <v>0</v>
      </c>
      <c r="AG6" s="364">
        <f t="shared" si="0"/>
        <v>0</v>
      </c>
      <c r="AH6" s="364">
        <f t="shared" si="0"/>
        <v>0</v>
      </c>
      <c r="AI6" t="str">
        <f t="shared" ref="AI6:AI17" si="1">AI47</f>
        <v>T-CAR*, T-LGT*, T-HGT*</v>
      </c>
      <c r="AJ6" t="s">
        <v>221</v>
      </c>
    </row>
    <row r="7" spans="1:36">
      <c r="A7" t="str">
        <f t="shared" ref="A7:A17" si="2">AI7</f>
        <v>T-CAR-ICE_DST21</v>
      </c>
      <c r="B7" t="s">
        <v>391</v>
      </c>
      <c r="E7" t="s">
        <v>223</v>
      </c>
      <c r="F7" t="s">
        <v>222</v>
      </c>
      <c r="G7">
        <v>2019</v>
      </c>
      <c r="H7" s="384">
        <f>SUMIFS('New vehicle sales'!$G$186:$G$215,'New vehicle sales'!$C$186:$C$215,'TRA-CAPs'!G7,'New vehicle sales'!$E$186:$E$215,B7)/1000</f>
        <v>53.201000000000001</v>
      </c>
      <c r="I7" s="364">
        <f>$H7*'New vehicle sales'!D$44</f>
        <v>0.63606157083411596</v>
      </c>
      <c r="J7" s="364">
        <f>$H7*'New vehicle sales'!E$44</f>
        <v>15.053103386803295</v>
      </c>
      <c r="K7" s="364">
        <f>$H7*'New vehicle sales'!F$44</f>
        <v>2.4858821709561254</v>
      </c>
      <c r="L7" s="364">
        <f>$H7*'New vehicle sales'!G$44</f>
        <v>1.1086499999474988</v>
      </c>
      <c r="M7" s="364">
        <f>$H7*'New vehicle sales'!H$44</f>
        <v>0.9462605716457726</v>
      </c>
      <c r="N7" s="364">
        <f>$H7*'New vehicle sales'!I$44</f>
        <v>0.45664555232036158</v>
      </c>
      <c r="O7" s="364">
        <f>$H7*'New vehicle sales'!J$44</f>
        <v>1.4399311370649936</v>
      </c>
      <c r="P7" s="364">
        <f>$H7*'New vehicle sales'!K$44</f>
        <v>2.1790907226475325</v>
      </c>
      <c r="Q7" s="364">
        <f>$H7*'New vehicle sales'!L$44</f>
        <v>0.87100393669287068</v>
      </c>
      <c r="R7" s="364">
        <f>$H7*'New vehicle sales'!M$44</f>
        <v>0.99176536294077977</v>
      </c>
      <c r="S7" s="364">
        <f>$H7*'New vehicle sales'!N$44</f>
        <v>1.6727395929956004</v>
      </c>
      <c r="T7" s="364">
        <f>$H7*'New vehicle sales'!O$44</f>
        <v>1.5912152958977195</v>
      </c>
      <c r="U7" s="364">
        <f>$H7*'New vehicle sales'!P$44</f>
        <v>1.3274595598573238</v>
      </c>
      <c r="V7" s="364">
        <f>$H7*'New vehicle sales'!Q$44</f>
        <v>6.0650859417476095</v>
      </c>
      <c r="W7" s="364">
        <f>$H7*'New vehicle sales'!R$44</f>
        <v>1.6502274018688046</v>
      </c>
      <c r="X7" s="364">
        <f>$H7*'New vehicle sales'!S$44</f>
        <v>2.1774707386706664</v>
      </c>
      <c r="Y7" s="364">
        <f>$H7*'New vehicle sales'!T$44</f>
        <v>1.7825745066271292</v>
      </c>
      <c r="Z7" s="364">
        <f>$H7*'New vehicle sales'!U$44</f>
        <v>1.2979535068717813</v>
      </c>
      <c r="AA7" s="364">
        <f>$H7*'New vehicle sales'!V$44</f>
        <v>2.8831022420837193</v>
      </c>
      <c r="AB7" s="364">
        <f>$H7*'New vehicle sales'!W$44</f>
        <v>0.35800528658414271</v>
      </c>
      <c r="AC7" s="364">
        <f>$H7*'New vehicle sales'!X$44</f>
        <v>1.4580637853026064</v>
      </c>
      <c r="AD7" s="364">
        <f>$H7*'New vehicle sales'!Y$44</f>
        <v>0.72110514346794741</v>
      </c>
      <c r="AE7" s="364">
        <f>$H7*'New vehicle sales'!Z$44</f>
        <v>0.73217689602708125</v>
      </c>
      <c r="AF7" s="364">
        <f>$H7*'New vehicle sales'!AA$44</f>
        <v>0.85106137532248327</v>
      </c>
      <c r="AG7" s="364">
        <f>$H7*'New vehicle sales'!AB$44</f>
        <v>1.7785413051398964</v>
      </c>
      <c r="AH7" s="364">
        <f>$H7*'New vehicle sales'!AC$44</f>
        <v>0.68582300968213039</v>
      </c>
      <c r="AI7" t="str">
        <f t="shared" si="1"/>
        <v>T-CAR-ICE_DST21</v>
      </c>
      <c r="AJ7" t="s">
        <v>221</v>
      </c>
    </row>
    <row r="8" spans="1:36">
      <c r="A8" t="str">
        <f t="shared" si="2"/>
        <v>T-CAR-ICE_GSL21</v>
      </c>
      <c r="B8" t="s">
        <v>399</v>
      </c>
      <c r="E8" t="s">
        <v>223</v>
      </c>
      <c r="F8" t="s">
        <v>222</v>
      </c>
      <c r="G8">
        <v>2019</v>
      </c>
      <c r="H8" s="384">
        <f>SUMIFS('New vehicle sales'!$G$186:$G$215,'New vehicle sales'!$C$186:$C$215,'TRA-CAPs'!G8,'New vehicle sales'!$E$186:$E$215,B8)/1000</f>
        <v>45.761000000000003</v>
      </c>
      <c r="I8" s="364">
        <f>$H8*'New vehicle sales'!D$44</f>
        <v>0.54711027129076495</v>
      </c>
      <c r="J8" s="364">
        <f>$H8*'New vehicle sales'!E$44</f>
        <v>12.94797210735711</v>
      </c>
      <c r="K8" s="364">
        <f>$H8*'New vehicle sales'!F$44</f>
        <v>2.1382390185358031</v>
      </c>
      <c r="L8" s="364">
        <f>$H8*'New vehicle sales'!G$44</f>
        <v>0.95360862855204775</v>
      </c>
      <c r="M8" s="364">
        <f>$H8*'New vehicle sales'!H$44</f>
        <v>0.81392887387609636</v>
      </c>
      <c r="N8" s="364">
        <f>$H8*'New vehicle sales'!I$44</f>
        <v>0.3927850438851162</v>
      </c>
      <c r="O8" s="364">
        <f>$H8*'New vehicle sales'!J$44</f>
        <v>1.2385610940251344</v>
      </c>
      <c r="P8" s="364">
        <f>$H8*'New vehicle sales'!K$44</f>
        <v>1.8743514324744599</v>
      </c>
      <c r="Q8" s="364">
        <f>$H8*'New vehicle sales'!L$44</f>
        <v>0.74919665320205375</v>
      </c>
      <c r="R8" s="364">
        <f>$H8*'New vehicle sales'!M$44</f>
        <v>0.853069956834139</v>
      </c>
      <c r="S8" s="364">
        <f>$H8*'New vehicle sales'!N$44</f>
        <v>1.4388119869000897</v>
      </c>
      <c r="T8" s="364">
        <f>$H8*'New vehicle sales'!O$44</f>
        <v>1.3686886177999578</v>
      </c>
      <c r="U8" s="364">
        <f>$H8*'New vehicle sales'!P$44</f>
        <v>1.1418183289530459</v>
      </c>
      <c r="V8" s="364">
        <f>$H8*'New vehicle sales'!Q$44</f>
        <v>5.21690189621083</v>
      </c>
      <c r="W8" s="364">
        <f>$H8*'New vehicle sales'!R$44</f>
        <v>1.419448058061284</v>
      </c>
      <c r="X8" s="364">
        <f>$H8*'New vehicle sales'!S$44</f>
        <v>1.8729579983892852</v>
      </c>
      <c r="Y8" s="364">
        <f>$H8*'New vehicle sales'!T$44</f>
        <v>1.5332868178749284</v>
      </c>
      <c r="Z8" s="364">
        <f>$H8*'New vehicle sales'!U$44</f>
        <v>1.1164386088223828</v>
      </c>
      <c r="AA8" s="364">
        <f>$H8*'New vehicle sales'!V$44</f>
        <v>2.4799090562206176</v>
      </c>
      <c r="AB8" s="364">
        <f>$H8*'New vehicle sales'!W$44</f>
        <v>0.3079393229333463</v>
      </c>
      <c r="AC8" s="364">
        <f>$H8*'New vehicle sales'!X$44</f>
        <v>1.2541579458888474</v>
      </c>
      <c r="AD8" s="364">
        <f>$H8*'New vehicle sales'!Y$44</f>
        <v>0.62026075581731066</v>
      </c>
      <c r="AE8" s="364">
        <f>$H8*'New vehicle sales'!Z$44</f>
        <v>0.62978415704771096</v>
      </c>
      <c r="AF8" s="364">
        <f>$H8*'New vehicle sales'!AA$44</f>
        <v>0.73204299911904214</v>
      </c>
      <c r="AG8" s="364">
        <f>$H8*'New vehicle sales'!AB$44</f>
        <v>1.5298176474973555</v>
      </c>
      <c r="AH8" s="364">
        <f>$H8*'New vehicle sales'!AC$44</f>
        <v>0.58991272243123194</v>
      </c>
      <c r="AI8" t="str">
        <f t="shared" si="1"/>
        <v>T-CAR-ICE_GSL21</v>
      </c>
      <c r="AJ8" t="s">
        <v>221</v>
      </c>
    </row>
    <row r="9" spans="1:36">
      <c r="A9" t="str">
        <f t="shared" si="2"/>
        <v>T-CAR-HEV_GSL21</v>
      </c>
      <c r="B9" t="s">
        <v>558</v>
      </c>
      <c r="E9" t="s">
        <v>223</v>
      </c>
      <c r="F9" t="s">
        <v>222</v>
      </c>
      <c r="G9">
        <v>2019</v>
      </c>
      <c r="H9" s="384">
        <f>SUMIFS('New vehicle sales'!$G$186:$G$215,'New vehicle sales'!$C$186:$C$215,'TRA-CAPs'!G9,'New vehicle sales'!$E$186:$E$215,B9)/1000</f>
        <v>10.9</v>
      </c>
      <c r="I9" s="364">
        <f>$H9*'New vehicle sales'!D$44</f>
        <v>0.13031843615894184</v>
      </c>
      <c r="J9" s="364">
        <f>$H9*'New vehicle sales'!E$44</f>
        <v>3.0841305034897073</v>
      </c>
      <c r="K9" s="364">
        <f>$H9*'New vehicle sales'!F$44</f>
        <v>0.50931590878783795</v>
      </c>
      <c r="L9" s="364">
        <f>$H9*'New vehicle sales'!G$44</f>
        <v>0.22714394465193768</v>
      </c>
      <c r="M9" s="364">
        <f>$H9*'New vehicle sales'!H$44</f>
        <v>0.19387305183998271</v>
      </c>
      <c r="N9" s="364">
        <f>$H9*'New vehicle sales'!I$44</f>
        <v>9.355907821830306E-2</v>
      </c>
      <c r="O9" s="364">
        <f>$H9*'New vehicle sales'!J$44</f>
        <v>0.29501793939979382</v>
      </c>
      <c r="P9" s="364">
        <f>$H9*'New vehicle sales'!K$44</f>
        <v>0.44645944393635656</v>
      </c>
      <c r="Q9" s="364">
        <f>$H9*'New vehicle sales'!L$44</f>
        <v>0.17845421909272929</v>
      </c>
      <c r="R9" s="364">
        <f>$H9*'New vehicle sales'!M$44</f>
        <v>0.20319622668849269</v>
      </c>
      <c r="S9" s="364">
        <f>$H9*'New vehicle sales'!N$44</f>
        <v>0.34271651968293909</v>
      </c>
      <c r="T9" s="364">
        <f>$H9*'New vehicle sales'!O$44</f>
        <v>0.32601354721311898</v>
      </c>
      <c r="U9" s="364">
        <f>$H9*'New vehicle sales'!P$44</f>
        <v>0.27197438398610607</v>
      </c>
      <c r="V9" s="364">
        <f>$H9*'New vehicle sales'!Q$44</f>
        <v>1.242635228004153</v>
      </c>
      <c r="W9" s="364">
        <f>$H9*'New vehicle sales'!R$44</f>
        <v>0.33810414616962031</v>
      </c>
      <c r="X9" s="364">
        <f>$H9*'New vehicle sales'!S$44</f>
        <v>0.44612753616492667</v>
      </c>
      <c r="Y9" s="364">
        <f>$H9*'New vehicle sales'!T$44</f>
        <v>0.36521986658588579</v>
      </c>
      <c r="Z9" s="364">
        <f>$H9*'New vehicle sales'!U$44</f>
        <v>0.26592908450785546</v>
      </c>
      <c r="AA9" s="364">
        <f>$H9*'New vehicle sales'!V$44</f>
        <v>0.5906996943424474</v>
      </c>
      <c r="AB9" s="364">
        <f>$H9*'New vehicle sales'!W$44</f>
        <v>7.3349328466892641E-2</v>
      </c>
      <c r="AC9" s="364">
        <f>$H9*'New vehicle sales'!X$44</f>
        <v>0.2987330174206953</v>
      </c>
      <c r="AD9" s="364">
        <f>$H9*'New vehicle sales'!Y$44</f>
        <v>0.14774244964945446</v>
      </c>
      <c r="AE9" s="364">
        <f>$H9*'New vehicle sales'!Z$44</f>
        <v>0.15001086759074428</v>
      </c>
      <c r="AF9" s="364">
        <f>$H9*'New vehicle sales'!AA$44</f>
        <v>0.17436831997547167</v>
      </c>
      <c r="AG9" s="364">
        <f>$H9*'New vehicle sales'!AB$44</f>
        <v>0.36439353068598096</v>
      </c>
      <c r="AH9" s="364">
        <f>$H9*'New vehicle sales'!AC$44</f>
        <v>0.14051372728962278</v>
      </c>
      <c r="AI9" t="str">
        <f t="shared" si="1"/>
        <v>T-CAR-HEV_GSL21</v>
      </c>
      <c r="AJ9" t="s">
        <v>221</v>
      </c>
    </row>
    <row r="10" spans="1:36">
      <c r="A10" t="str">
        <f t="shared" si="2"/>
        <v>T-CAR-BEV100_ELC21</v>
      </c>
      <c r="B10" t="s">
        <v>389</v>
      </c>
      <c r="E10" t="s">
        <v>223</v>
      </c>
      <c r="F10" t="s">
        <v>222</v>
      </c>
      <c r="G10">
        <v>2019</v>
      </c>
      <c r="H10" s="384">
        <f>SUMIFS('New vehicle sales'!$G$186:$G$215,'New vehicle sales'!$C$186:$C$215,'TRA-CAPs'!G10,'New vehicle sales'!$E$186:$E$215,B10)/1000</f>
        <v>3.4430000000000001</v>
      </c>
      <c r="I10" s="364">
        <f>$H10*'New vehicle sales'!D$44</f>
        <v>4.1163887678462088E-2</v>
      </c>
      <c r="J10" s="364">
        <f>$H10*'New vehicle sales'!E$44</f>
        <v>0.97418911224908833</v>
      </c>
      <c r="K10" s="364">
        <f>$H10*'New vehicle sales'!F$44</f>
        <v>0.16087841045472717</v>
      </c>
      <c r="L10" s="364">
        <f>$H10*'New vehicle sales'!G$44</f>
        <v>7.1748312058405636E-2</v>
      </c>
      <c r="M10" s="364">
        <f>$H10*'New vehicle sales'!H$44</f>
        <v>6.1238983255510138E-2</v>
      </c>
      <c r="N10" s="364">
        <f>$H10*'New vehicle sales'!I$44</f>
        <v>2.9552651954643804E-2</v>
      </c>
      <c r="O10" s="364">
        <f>$H10*'New vehicle sales'!J$44</f>
        <v>9.3187776637934872E-2</v>
      </c>
      <c r="P10" s="364">
        <f>$H10*'New vehicle sales'!K$44</f>
        <v>0.14102384086907116</v>
      </c>
      <c r="Q10" s="364">
        <f>$H10*'New vehicle sales'!L$44</f>
        <v>5.6368612507914397E-2</v>
      </c>
      <c r="R10" s="364">
        <f>$H10*'New vehicle sales'!M$44</f>
        <v>6.4183909035640405E-2</v>
      </c>
      <c r="S10" s="364">
        <f>$H10*'New vehicle sales'!N$44</f>
        <v>0.10825440158425315</v>
      </c>
      <c r="T10" s="364">
        <f>$H10*'New vehicle sales'!O$44</f>
        <v>0.10297840761970355</v>
      </c>
      <c r="U10" s="364">
        <f>$H10*'New vehicle sales'!P$44</f>
        <v>8.5908972849923229E-2</v>
      </c>
      <c r="V10" s="364">
        <f>$H10*'New vehicle sales'!Q$44</f>
        <v>0.39251312752461459</v>
      </c>
      <c r="W10" s="364">
        <f>$H10*'New vehicle sales'!R$44</f>
        <v>0.10679748396899108</v>
      </c>
      <c r="X10" s="364">
        <f>$H10*'New vehicle sales'!S$44</f>
        <v>0.14091900064365528</v>
      </c>
      <c r="Y10" s="364">
        <f>$H10*'New vehicle sales'!T$44</f>
        <v>0.11536256886744997</v>
      </c>
      <c r="Z10" s="364">
        <f>$H10*'New vehicle sales'!U$44</f>
        <v>8.3999434675279469E-2</v>
      </c>
      <c r="AA10" s="364">
        <f>$H10*'New vehicle sales'!V$44</f>
        <v>0.18658523372670149</v>
      </c>
      <c r="AB10" s="364">
        <f>$H10*'New vehicle sales'!W$44</f>
        <v>2.3168966780872602E-2</v>
      </c>
      <c r="AC10" s="364">
        <f>$H10*'New vehicle sales'!X$44</f>
        <v>9.4361264126555405E-2</v>
      </c>
      <c r="AD10" s="364">
        <f>$H10*'New vehicle sales'!Y$44</f>
        <v>4.6667637994777224E-2</v>
      </c>
      <c r="AE10" s="364">
        <f>$H10*'New vehicle sales'!Z$44</f>
        <v>4.7384166707791976E-2</v>
      </c>
      <c r="AF10" s="364">
        <f>$H10*'New vehicle sales'!AA$44</f>
        <v>5.5077993181243019E-2</v>
      </c>
      <c r="AG10" s="364">
        <f>$H10*'New vehicle sales'!AB$44</f>
        <v>0.11510155285796628</v>
      </c>
      <c r="AH10" s="364">
        <f>$H10*'New vehicle sales'!AC$44</f>
        <v>4.4384290188823047E-2</v>
      </c>
      <c r="AI10" t="str">
        <f t="shared" si="1"/>
        <v>T-CAR-BEV100_ELC21</v>
      </c>
      <c r="AJ10" t="s">
        <v>221</v>
      </c>
    </row>
    <row r="11" spans="1:36">
      <c r="A11" t="str">
        <f t="shared" si="2"/>
        <v>T-CAR-PHEV40_GSL21</v>
      </c>
      <c r="E11" t="s">
        <v>223</v>
      </c>
      <c r="F11" t="s">
        <v>222</v>
      </c>
      <c r="G11">
        <v>2019</v>
      </c>
      <c r="H11" s="384">
        <f>SUMIFS('New vehicle sales'!$G$186:$G$215,'New vehicle sales'!$C$186:$C$215,'TRA-CAPs'!G11,'New vehicle sales'!$E$186:$E$215,B11)/1000</f>
        <v>0</v>
      </c>
      <c r="I11" s="364">
        <f>$H11*'New vehicle sales'!D$44</f>
        <v>0</v>
      </c>
      <c r="J11" s="364">
        <f>$H11*'New vehicle sales'!E$44</f>
        <v>0</v>
      </c>
      <c r="K11" s="364">
        <f>$H11*'New vehicle sales'!F$44</f>
        <v>0</v>
      </c>
      <c r="L11" s="364">
        <f>$H11*'New vehicle sales'!G$44</f>
        <v>0</v>
      </c>
      <c r="M11" s="364">
        <f>$H11*'New vehicle sales'!H$44</f>
        <v>0</v>
      </c>
      <c r="N11" s="364">
        <f>$H11*'New vehicle sales'!I$44</f>
        <v>0</v>
      </c>
      <c r="O11" s="364">
        <f>$H11*'New vehicle sales'!J$44</f>
        <v>0</v>
      </c>
      <c r="P11" s="364">
        <f>$H11*'New vehicle sales'!K$44</f>
        <v>0</v>
      </c>
      <c r="Q11" s="364">
        <f>$H11*'New vehicle sales'!L$44</f>
        <v>0</v>
      </c>
      <c r="R11" s="364">
        <f>$H11*'New vehicle sales'!M$44</f>
        <v>0</v>
      </c>
      <c r="S11" s="364">
        <f>$H11*'New vehicle sales'!N$44</f>
        <v>0</v>
      </c>
      <c r="T11" s="364">
        <f>$H11*'New vehicle sales'!O$44</f>
        <v>0</v>
      </c>
      <c r="U11" s="364">
        <f>$H11*'New vehicle sales'!P$44</f>
        <v>0</v>
      </c>
      <c r="V11" s="364">
        <f>$H11*'New vehicle sales'!Q$44</f>
        <v>0</v>
      </c>
      <c r="W11" s="364">
        <f>$H11*'New vehicle sales'!R$44</f>
        <v>0</v>
      </c>
      <c r="X11" s="364">
        <f>$H11*'New vehicle sales'!S$44</f>
        <v>0</v>
      </c>
      <c r="Y11" s="364">
        <f>$H11*'New vehicle sales'!T$44</f>
        <v>0</v>
      </c>
      <c r="Z11" s="364">
        <f>$H11*'New vehicle sales'!U$44</f>
        <v>0</v>
      </c>
      <c r="AA11" s="364">
        <f>$H11*'New vehicle sales'!V$44</f>
        <v>0</v>
      </c>
      <c r="AB11" s="364">
        <f>$H11*'New vehicle sales'!W$44</f>
        <v>0</v>
      </c>
      <c r="AC11" s="364">
        <f>$H11*'New vehicle sales'!X$44</f>
        <v>0</v>
      </c>
      <c r="AD11" s="364">
        <f>$H11*'New vehicle sales'!Y$44</f>
        <v>0</v>
      </c>
      <c r="AE11" s="364">
        <f>$H11*'New vehicle sales'!Z$44</f>
        <v>0</v>
      </c>
      <c r="AF11" s="364">
        <f>$H11*'New vehicle sales'!AA$44</f>
        <v>0</v>
      </c>
      <c r="AG11" s="364">
        <f>$H11*'New vehicle sales'!AB$44</f>
        <v>0</v>
      </c>
      <c r="AH11" s="364">
        <f>$H11*'New vehicle sales'!AC$44</f>
        <v>0</v>
      </c>
      <c r="AI11" t="str">
        <f t="shared" si="1"/>
        <v>T-CAR-PHEV40_GSL21</v>
      </c>
      <c r="AJ11" t="s">
        <v>221</v>
      </c>
    </row>
    <row r="12" spans="1:36">
      <c r="A12" t="str">
        <f t="shared" si="2"/>
        <v>T-CAR-HEV_DST21</v>
      </c>
      <c r="E12" t="s">
        <v>223</v>
      </c>
      <c r="F12" t="s">
        <v>222</v>
      </c>
      <c r="G12">
        <v>2019</v>
      </c>
      <c r="H12" s="384">
        <f>SUMIFS('New vehicle sales'!$G$186:$G$215,'New vehicle sales'!$C$186:$C$215,'TRA-CAPs'!G12,'New vehicle sales'!$E$186:$E$215,B12)/1000</f>
        <v>0</v>
      </c>
      <c r="I12" s="364">
        <f>$H12*'New vehicle sales'!D$44</f>
        <v>0</v>
      </c>
      <c r="J12" s="364">
        <f>$H12*'New vehicle sales'!E$44</f>
        <v>0</v>
      </c>
      <c r="K12" s="364">
        <f>$H12*'New vehicle sales'!F$44</f>
        <v>0</v>
      </c>
      <c r="L12" s="364">
        <f>$H12*'New vehicle sales'!G$44</f>
        <v>0</v>
      </c>
      <c r="M12" s="364">
        <f>$H12*'New vehicle sales'!H$44</f>
        <v>0</v>
      </c>
      <c r="N12" s="364">
        <f>$H12*'New vehicle sales'!I$44</f>
        <v>0</v>
      </c>
      <c r="O12" s="364">
        <f>$H12*'New vehicle sales'!J$44</f>
        <v>0</v>
      </c>
      <c r="P12" s="364">
        <f>$H12*'New vehicle sales'!K$44</f>
        <v>0</v>
      </c>
      <c r="Q12" s="364">
        <f>$H12*'New vehicle sales'!L$44</f>
        <v>0</v>
      </c>
      <c r="R12" s="364">
        <f>$H12*'New vehicle sales'!M$44</f>
        <v>0</v>
      </c>
      <c r="S12" s="364">
        <f>$H12*'New vehicle sales'!N$44</f>
        <v>0</v>
      </c>
      <c r="T12" s="364">
        <f>$H12*'New vehicle sales'!O$44</f>
        <v>0</v>
      </c>
      <c r="U12" s="364">
        <f>$H12*'New vehicle sales'!P$44</f>
        <v>0</v>
      </c>
      <c r="V12" s="364">
        <f>$H12*'New vehicle sales'!Q$44</f>
        <v>0</v>
      </c>
      <c r="W12" s="364">
        <f>$H12*'New vehicle sales'!R$44</f>
        <v>0</v>
      </c>
      <c r="X12" s="364">
        <f>$H12*'New vehicle sales'!S$44</f>
        <v>0</v>
      </c>
      <c r="Y12" s="364">
        <f>$H12*'New vehicle sales'!T$44</f>
        <v>0</v>
      </c>
      <c r="Z12" s="364">
        <f>$H12*'New vehicle sales'!U$44</f>
        <v>0</v>
      </c>
      <c r="AA12" s="364">
        <f>$H12*'New vehicle sales'!V$44</f>
        <v>0</v>
      </c>
      <c r="AB12" s="364">
        <f>$H12*'New vehicle sales'!W$44</f>
        <v>0</v>
      </c>
      <c r="AC12" s="364">
        <f>$H12*'New vehicle sales'!X$44</f>
        <v>0</v>
      </c>
      <c r="AD12" s="364">
        <f>$H12*'New vehicle sales'!Y$44</f>
        <v>0</v>
      </c>
      <c r="AE12" s="364">
        <f>$H12*'New vehicle sales'!Z$44</f>
        <v>0</v>
      </c>
      <c r="AF12" s="364">
        <f>$H12*'New vehicle sales'!AA$44</f>
        <v>0</v>
      </c>
      <c r="AG12" s="364">
        <f>$H12*'New vehicle sales'!AB$44</f>
        <v>0</v>
      </c>
      <c r="AH12" s="364">
        <f>$H12*'New vehicle sales'!AC$44</f>
        <v>0</v>
      </c>
      <c r="AI12" t="str">
        <f t="shared" si="1"/>
        <v>T-CAR-HEV_DST21</v>
      </c>
      <c r="AJ12" t="s">
        <v>221</v>
      </c>
    </row>
    <row r="13" spans="1:36">
      <c r="A13" t="str">
        <f t="shared" si="2"/>
        <v>T-CAR-PHEV40_DST21</v>
      </c>
      <c r="E13" t="s">
        <v>223</v>
      </c>
      <c r="F13" t="s">
        <v>222</v>
      </c>
      <c r="G13">
        <v>2019</v>
      </c>
      <c r="H13" s="384">
        <f>SUMIFS('New vehicle sales'!$G$186:$G$215,'New vehicle sales'!$C$186:$C$215,'TRA-CAPs'!G13,'New vehicle sales'!$E$186:$E$215,B13)/1000</f>
        <v>0</v>
      </c>
      <c r="I13" s="364">
        <f>$H13*'New vehicle sales'!D$44</f>
        <v>0</v>
      </c>
      <c r="J13" s="364">
        <f>$H13*'New vehicle sales'!E$44</f>
        <v>0</v>
      </c>
      <c r="K13" s="364">
        <f>$H13*'New vehicle sales'!F$44</f>
        <v>0</v>
      </c>
      <c r="L13" s="364">
        <f>$H13*'New vehicle sales'!G$44</f>
        <v>0</v>
      </c>
      <c r="M13" s="364">
        <f>$H13*'New vehicle sales'!H$44</f>
        <v>0</v>
      </c>
      <c r="N13" s="364">
        <f>$H13*'New vehicle sales'!I$44</f>
        <v>0</v>
      </c>
      <c r="O13" s="364">
        <f>$H13*'New vehicle sales'!J$44</f>
        <v>0</v>
      </c>
      <c r="P13" s="364">
        <f>$H13*'New vehicle sales'!K$44</f>
        <v>0</v>
      </c>
      <c r="Q13" s="364">
        <f>$H13*'New vehicle sales'!L$44</f>
        <v>0</v>
      </c>
      <c r="R13" s="364">
        <f>$H13*'New vehicle sales'!M$44</f>
        <v>0</v>
      </c>
      <c r="S13" s="364">
        <f>$H13*'New vehicle sales'!N$44</f>
        <v>0</v>
      </c>
      <c r="T13" s="364">
        <f>$H13*'New vehicle sales'!O$44</f>
        <v>0</v>
      </c>
      <c r="U13" s="364">
        <f>$H13*'New vehicle sales'!P$44</f>
        <v>0</v>
      </c>
      <c r="V13" s="364">
        <f>$H13*'New vehicle sales'!Q$44</f>
        <v>0</v>
      </c>
      <c r="W13" s="364">
        <f>$H13*'New vehicle sales'!R$44</f>
        <v>0</v>
      </c>
      <c r="X13" s="364">
        <f>$H13*'New vehicle sales'!S$44</f>
        <v>0</v>
      </c>
      <c r="Y13" s="364">
        <f>$H13*'New vehicle sales'!T$44</f>
        <v>0</v>
      </c>
      <c r="Z13" s="364">
        <f>$H13*'New vehicle sales'!U$44</f>
        <v>0</v>
      </c>
      <c r="AA13" s="364">
        <f>$H13*'New vehicle sales'!V$44</f>
        <v>0</v>
      </c>
      <c r="AB13" s="364">
        <f>$H13*'New vehicle sales'!W$44</f>
        <v>0</v>
      </c>
      <c r="AC13" s="364">
        <f>$H13*'New vehicle sales'!X$44</f>
        <v>0</v>
      </c>
      <c r="AD13" s="364">
        <f>$H13*'New vehicle sales'!Y$44</f>
        <v>0</v>
      </c>
      <c r="AE13" s="364">
        <f>$H13*'New vehicle sales'!Z$44</f>
        <v>0</v>
      </c>
      <c r="AF13" s="364">
        <f>$H13*'New vehicle sales'!AA$44</f>
        <v>0</v>
      </c>
      <c r="AG13" s="364">
        <f>$H13*'New vehicle sales'!AB$44</f>
        <v>0</v>
      </c>
      <c r="AH13" s="364">
        <f>$H13*'New vehicle sales'!AC$44</f>
        <v>0</v>
      </c>
      <c r="AI13" t="str">
        <f t="shared" si="1"/>
        <v>T-CAR-PHEV40_DST21</v>
      </c>
      <c r="AJ13" t="s">
        <v>221</v>
      </c>
    </row>
    <row r="14" spans="1:36">
      <c r="A14" t="str">
        <f t="shared" si="2"/>
        <v>T-LGT-ICE_DST61</v>
      </c>
      <c r="E14" t="s">
        <v>223</v>
      </c>
      <c r="F14" t="s">
        <v>222</v>
      </c>
      <c r="G14">
        <v>2019</v>
      </c>
      <c r="H14" s="384">
        <f>'New vehicle sales'!C19/1000</f>
        <v>24.959</v>
      </c>
      <c r="I14" s="364">
        <f>$H14*'New vehicle sales'!D$44</f>
        <v>0.29840530716431457</v>
      </c>
      <c r="J14" s="364">
        <f>$H14*'New vehicle sales'!E$44</f>
        <v>7.0620929574862021</v>
      </c>
      <c r="K14" s="364">
        <f>$H14*'New vehicle sales'!F$44</f>
        <v>1.1662399786638209</v>
      </c>
      <c r="L14" s="364">
        <f>$H14*'New vehicle sales'!G$44</f>
        <v>0.52011795546492778</v>
      </c>
      <c r="M14" s="364">
        <f>$H14*'New vehicle sales'!H$44</f>
        <v>0.44393371567652556</v>
      </c>
      <c r="N14" s="364">
        <f>$H14*'New vehicle sales'!I$44</f>
        <v>0.21423312231657121</v>
      </c>
      <c r="O14" s="364">
        <f>$H14*'New vehicle sales'!J$44</f>
        <v>0.67553694949352783</v>
      </c>
      <c r="P14" s="364">
        <f>$H14*'New vehicle sales'!K$44</f>
        <v>1.0223102074502315</v>
      </c>
      <c r="Q14" s="364">
        <f>$H14*'New vehicle sales'!L$44</f>
        <v>0.40862741782893858</v>
      </c>
      <c r="R14" s="364">
        <f>$H14*'New vehicle sales'!M$44</f>
        <v>0.46528207540532929</v>
      </c>
      <c r="S14" s="364">
        <f>$H14*'New vehicle sales'!N$44</f>
        <v>0.7847579463088511</v>
      </c>
      <c r="T14" s="364">
        <f>$H14*'New vehicle sales'!O$44</f>
        <v>0.74651120411855376</v>
      </c>
      <c r="U14" s="364">
        <f>$H14*'New vehicle sales'!P$44</f>
        <v>0.62277143577148819</v>
      </c>
      <c r="V14" s="364">
        <f>$H14*'New vehicle sales'!Q$44</f>
        <v>2.8454066656656565</v>
      </c>
      <c r="W14" s="364">
        <f>$H14*'New vehicle sales'!R$44</f>
        <v>0.77419645727041775</v>
      </c>
      <c r="X14" s="364">
        <f>$H14*'New vehicle sales'!S$44</f>
        <v>1.0215501995541656</v>
      </c>
      <c r="Y14" s="364">
        <f>$H14*'New vehicle sales'!T$44</f>
        <v>0.83628648166212138</v>
      </c>
      <c r="Z14" s="364">
        <f>$H14*'New vehicle sales'!U$44</f>
        <v>0.60892880919555625</v>
      </c>
      <c r="AA14" s="364">
        <f>$H14*'New vehicle sales'!V$44</f>
        <v>1.3525939147791874</v>
      </c>
      <c r="AB14" s="364">
        <f>$H14*'New vehicle sales'!W$44</f>
        <v>0.16795650359680492</v>
      </c>
      <c r="AC14" s="364">
        <f>$H14*'New vehicle sales'!X$44</f>
        <v>0.68404379649570035</v>
      </c>
      <c r="AD14" s="364">
        <f>$H14*'New vehicle sales'!Y$44</f>
        <v>0.338303100990893</v>
      </c>
      <c r="AE14" s="364">
        <f>$H14*'New vehicle sales'!Z$44</f>
        <v>0.34349736185297119</v>
      </c>
      <c r="AF14" s="364">
        <f>$H14*'New vehicle sales'!AA$44</f>
        <v>0.39927145855667862</v>
      </c>
      <c r="AG14" s="364">
        <f>$H14*'New vehicle sales'!AB$44</f>
        <v>0.83439432407260528</v>
      </c>
      <c r="AH14" s="364">
        <f>$H14*'New vehicle sales'!AC$44</f>
        <v>0.32175065315795365</v>
      </c>
      <c r="AI14" t="str">
        <f t="shared" si="1"/>
        <v>T-LGT-ICE_DST61</v>
      </c>
      <c r="AJ14" t="s">
        <v>221</v>
      </c>
    </row>
    <row r="15" spans="1:36">
      <c r="A15" t="str">
        <f t="shared" si="2"/>
        <v>T-LGT-HEV_DST61</v>
      </c>
      <c r="E15" t="s">
        <v>223</v>
      </c>
      <c r="F15" t="s">
        <v>222</v>
      </c>
      <c r="G15">
        <v>2019</v>
      </c>
      <c r="H15" s="384">
        <f>'New vehicle sales'!C20/1000</f>
        <v>5.0000000000000001E-3</v>
      </c>
      <c r="I15" s="364">
        <f>$H15*'New vehicle sales'!D$44</f>
        <v>5.9779099155477907E-5</v>
      </c>
      <c r="J15" s="364">
        <f>$H15*'New vehicle sales'!E$44</f>
        <v>1.4147387630686732E-3</v>
      </c>
      <c r="K15" s="364">
        <f>$H15*'New vehicle sales'!F$44</f>
        <v>2.3363115082010915E-4</v>
      </c>
      <c r="L15" s="364">
        <f>$H15*'New vehicle sales'!G$44</f>
        <v>1.0419447002382463E-4</v>
      </c>
      <c r="M15" s="364">
        <f>$H15*'New vehicle sales'!H$44</f>
        <v>8.8932592587148034E-5</v>
      </c>
      <c r="N15" s="364">
        <f>$H15*'New vehicle sales'!I$44</f>
        <v>4.2917008357019757E-5</v>
      </c>
      <c r="O15" s="364">
        <f>$H15*'New vehicle sales'!J$44</f>
        <v>1.3532932999990542E-4</v>
      </c>
      <c r="P15" s="364">
        <f>$H15*'New vehicle sales'!K$44</f>
        <v>2.0479791006254886E-4</v>
      </c>
      <c r="Q15" s="364">
        <f>$H15*'New vehicle sales'!L$44</f>
        <v>8.1859733528774902E-5</v>
      </c>
      <c r="R15" s="364">
        <f>$H15*'New vehicle sales'!M$44</f>
        <v>9.3209278297473711E-5</v>
      </c>
      <c r="S15" s="364">
        <f>$H15*'New vehicle sales'!N$44</f>
        <v>1.5720941269859592E-4</v>
      </c>
      <c r="T15" s="364">
        <f>$H15*'New vehicle sales'!O$44</f>
        <v>1.495474987216142E-4</v>
      </c>
      <c r="U15" s="364">
        <f>$H15*'New vehicle sales'!P$44</f>
        <v>1.247588917367459E-4</v>
      </c>
      <c r="V15" s="364">
        <f>$H15*'New vehicle sales'!Q$44</f>
        <v>5.7001615963493256E-4</v>
      </c>
      <c r="W15" s="364">
        <f>$H15*'New vehicle sales'!R$44</f>
        <v>1.5509364503193593E-4</v>
      </c>
      <c r="X15" s="364">
        <f>$H15*'New vehicle sales'!S$44</f>
        <v>2.0464565879125076E-4</v>
      </c>
      <c r="Y15" s="364">
        <f>$H15*'New vehicle sales'!T$44</f>
        <v>1.6753204889260816E-4</v>
      </c>
      <c r="Z15" s="364">
        <f>$H15*'New vehicle sales'!U$44</f>
        <v>1.2198581858158506E-4</v>
      </c>
      <c r="AA15" s="364">
        <f>$H15*'New vehicle sales'!V$44</f>
        <v>2.7096316254240704E-4</v>
      </c>
      <c r="AB15" s="364">
        <f>$H15*'New vehicle sales'!W$44</f>
        <v>3.364648094811589E-5</v>
      </c>
      <c r="AC15" s="364">
        <f>$H15*'New vehicle sales'!X$44</f>
        <v>1.3703349422967674E-4</v>
      </c>
      <c r="AD15" s="364">
        <f>$H15*'New vehicle sales'!Y$44</f>
        <v>6.7771765894245159E-5</v>
      </c>
      <c r="AE15" s="364">
        <f>$H15*'New vehicle sales'!Z$44</f>
        <v>6.8812324582910223E-5</v>
      </c>
      <c r="AF15" s="364">
        <f>$H15*'New vehicle sales'!AA$44</f>
        <v>7.9985467878656731E-5</v>
      </c>
      <c r="AG15" s="364">
        <f>$H15*'New vehicle sales'!AB$44</f>
        <v>1.671529957275142E-4</v>
      </c>
      <c r="AH15" s="364">
        <f>$H15*'New vehicle sales'!AC$44</f>
        <v>6.4455838206248976E-5</v>
      </c>
      <c r="AI15" t="str">
        <f t="shared" si="1"/>
        <v>T-LGT-HEV_DST61</v>
      </c>
      <c r="AJ15" t="s">
        <v>221</v>
      </c>
    </row>
    <row r="16" spans="1:36">
      <c r="A16" t="str">
        <f t="shared" si="2"/>
        <v>T-LGT-BEV_ELC61</v>
      </c>
      <c r="E16" t="s">
        <v>223</v>
      </c>
      <c r="F16" t="s">
        <v>222</v>
      </c>
      <c r="G16">
        <v>2019</v>
      </c>
      <c r="H16" s="384">
        <f>'New vehicle sales'!C21/1000</f>
        <v>0.32700000000000001</v>
      </c>
      <c r="I16" s="364">
        <f>$H16*'New vehicle sales'!D$44</f>
        <v>3.9095530847682554E-3</v>
      </c>
      <c r="J16" s="364">
        <f>$H16*'New vehicle sales'!E$44</f>
        <v>9.2523915104691226E-2</v>
      </c>
      <c r="K16" s="364">
        <f>$H16*'New vehicle sales'!F$44</f>
        <v>1.5279477263635139E-2</v>
      </c>
      <c r="L16" s="364">
        <f>$H16*'New vehicle sales'!G$44</f>
        <v>6.8143183395581305E-3</v>
      </c>
      <c r="M16" s="364">
        <f>$H16*'New vehicle sales'!H$44</f>
        <v>5.8161915551994819E-3</v>
      </c>
      <c r="N16" s="364">
        <f>$H16*'New vehicle sales'!I$44</f>
        <v>2.8067723465490919E-3</v>
      </c>
      <c r="O16" s="364">
        <f>$H16*'New vehicle sales'!J$44</f>
        <v>8.8505381819938139E-3</v>
      </c>
      <c r="P16" s="364">
        <f>$H16*'New vehicle sales'!K$44</f>
        <v>1.3393783318090696E-2</v>
      </c>
      <c r="Q16" s="364">
        <f>$H16*'New vehicle sales'!L$44</f>
        <v>5.3536265727818786E-3</v>
      </c>
      <c r="R16" s="364">
        <f>$H16*'New vehicle sales'!M$44</f>
        <v>6.0958868006547812E-3</v>
      </c>
      <c r="S16" s="364">
        <f>$H16*'New vehicle sales'!N$44</f>
        <v>1.0281495590488174E-2</v>
      </c>
      <c r="T16" s="364">
        <f>$H16*'New vehicle sales'!O$44</f>
        <v>9.7804064163935691E-3</v>
      </c>
      <c r="U16" s="364">
        <f>$H16*'New vehicle sales'!P$44</f>
        <v>8.1592315195831832E-3</v>
      </c>
      <c r="V16" s="364">
        <f>$H16*'New vehicle sales'!Q$44</f>
        <v>3.7279056840124593E-2</v>
      </c>
      <c r="W16" s="364">
        <f>$H16*'New vehicle sales'!R$44</f>
        <v>1.014312438508861E-2</v>
      </c>
      <c r="X16" s="364">
        <f>$H16*'New vehicle sales'!S$44</f>
        <v>1.33838260849478E-2</v>
      </c>
      <c r="Y16" s="364">
        <f>$H16*'New vehicle sales'!T$44</f>
        <v>1.0956595997576573E-2</v>
      </c>
      <c r="Z16" s="364">
        <f>$H16*'New vehicle sales'!U$44</f>
        <v>7.9778725352356635E-3</v>
      </c>
      <c r="AA16" s="364">
        <f>$H16*'New vehicle sales'!V$44</f>
        <v>1.7720990830273422E-2</v>
      </c>
      <c r="AB16" s="364">
        <f>$H16*'New vehicle sales'!W$44</f>
        <v>2.2004798540067793E-3</v>
      </c>
      <c r="AC16" s="364">
        <f>$H16*'New vehicle sales'!X$44</f>
        <v>8.9619905226208593E-3</v>
      </c>
      <c r="AD16" s="364">
        <f>$H16*'New vehicle sales'!Y$44</f>
        <v>4.4322734894836338E-3</v>
      </c>
      <c r="AE16" s="364">
        <f>$H16*'New vehicle sales'!Z$44</f>
        <v>4.5003260277223286E-3</v>
      </c>
      <c r="AF16" s="364">
        <f>$H16*'New vehicle sales'!AA$44</f>
        <v>5.2310495992641502E-3</v>
      </c>
      <c r="AG16" s="364">
        <f>$H16*'New vehicle sales'!AB$44</f>
        <v>1.0931805920579428E-2</v>
      </c>
      <c r="AH16" s="364">
        <f>$H16*'New vehicle sales'!AC$44</f>
        <v>4.2154118186886833E-3</v>
      </c>
      <c r="AI16" t="str">
        <f t="shared" si="1"/>
        <v>T-LGT-BEV_ELC61</v>
      </c>
      <c r="AJ16" t="s">
        <v>221</v>
      </c>
    </row>
    <row r="17" spans="1:36">
      <c r="A17" t="str">
        <f t="shared" si="2"/>
        <v>T-HGT-ICE_DST81</v>
      </c>
      <c r="D17" s="30"/>
      <c r="E17" s="30" t="s">
        <v>223</v>
      </c>
      <c r="F17" s="30" t="s">
        <v>222</v>
      </c>
      <c r="G17" s="30">
        <v>2019</v>
      </c>
      <c r="H17" s="385">
        <f>'New vehicle sales'!C34/1000</f>
        <v>1.62</v>
      </c>
      <c r="I17" s="365">
        <f>$H17*'New vehicle sales'!D$44</f>
        <v>1.9368428126374841E-2</v>
      </c>
      <c r="J17" s="365">
        <f>$H17*'New vehicle sales'!E$44</f>
        <v>0.4583753592342501</v>
      </c>
      <c r="K17" s="365">
        <f>$H17*'New vehicle sales'!F$44</f>
        <v>7.5696492865715378E-2</v>
      </c>
      <c r="L17" s="365">
        <f>$H17*'New vehicle sales'!G$44</f>
        <v>3.3759008287719182E-2</v>
      </c>
      <c r="M17" s="365">
        <f>$H17*'New vehicle sales'!H$44</f>
        <v>2.8814159998235965E-2</v>
      </c>
      <c r="N17" s="365">
        <f>$H17*'New vehicle sales'!I$44</f>
        <v>1.3905110707674402E-2</v>
      </c>
      <c r="O17" s="365">
        <f>$H17*'New vehicle sales'!J$44</f>
        <v>4.3846702919969359E-2</v>
      </c>
      <c r="P17" s="365">
        <f>$H17*'New vehicle sales'!K$44</f>
        <v>6.635452286026583E-2</v>
      </c>
      <c r="Q17" s="365">
        <f>$H17*'New vehicle sales'!L$44</f>
        <v>2.6522553663323071E-2</v>
      </c>
      <c r="R17" s="365">
        <f>$H17*'New vehicle sales'!M$44</f>
        <v>3.0199806168381485E-2</v>
      </c>
      <c r="S17" s="365">
        <f>$H17*'New vehicle sales'!N$44</f>
        <v>5.0935849714345081E-2</v>
      </c>
      <c r="T17" s="365">
        <f>$H17*'New vehicle sales'!O$44</f>
        <v>4.845338958580301E-2</v>
      </c>
      <c r="U17" s="365">
        <f>$H17*'New vehicle sales'!P$44</f>
        <v>4.0421880922705676E-2</v>
      </c>
      <c r="V17" s="365">
        <f>$H17*'New vehicle sales'!Q$44</f>
        <v>0.18468523572171816</v>
      </c>
      <c r="W17" s="365">
        <f>$H17*'New vehicle sales'!R$44</f>
        <v>5.0250340990347239E-2</v>
      </c>
      <c r="X17" s="365">
        <f>$H17*'New vehicle sales'!S$44</f>
        <v>6.6305193448365246E-2</v>
      </c>
      <c r="Y17" s="365">
        <f>$H17*'New vehicle sales'!T$44</f>
        <v>5.4280383841205045E-2</v>
      </c>
      <c r="Z17" s="365">
        <f>$H17*'New vehicle sales'!U$44</f>
        <v>3.9523405220433565E-2</v>
      </c>
      <c r="AA17" s="365">
        <f>$H17*'New vehicle sales'!V$44</f>
        <v>8.7792064663739885E-2</v>
      </c>
      <c r="AB17" s="365">
        <f>$H17*'New vehicle sales'!W$44</f>
        <v>1.090145982718955E-2</v>
      </c>
      <c r="AC17" s="365">
        <f>$H17*'New vehicle sales'!X$44</f>
        <v>4.4398852130415264E-2</v>
      </c>
      <c r="AD17" s="365">
        <f>$H17*'New vehicle sales'!Y$44</f>
        <v>2.1958052149735435E-2</v>
      </c>
      <c r="AE17" s="365">
        <f>$H17*'New vehicle sales'!Z$44</f>
        <v>2.2295193164862913E-2</v>
      </c>
      <c r="AF17" s="365">
        <f>$H17*'New vehicle sales'!AA$44</f>
        <v>2.591529159268478E-2</v>
      </c>
      <c r="AG17" s="365">
        <f>$H17*'New vehicle sales'!AB$44</f>
        <v>5.4157570615714599E-2</v>
      </c>
      <c r="AH17" s="365">
        <f>$H17*'New vehicle sales'!AC$44</f>
        <v>2.0883691578824668E-2</v>
      </c>
      <c r="AI17" s="30" t="str">
        <f t="shared" si="1"/>
        <v>T-HGT-ICE_DST81</v>
      </c>
      <c r="AJ17" s="30" t="s">
        <v>221</v>
      </c>
    </row>
    <row r="21" spans="1:36" ht="21">
      <c r="C21" s="39" t="s">
        <v>231</v>
      </c>
    </row>
    <row r="24" spans="1:36">
      <c r="C24" t="s">
        <v>230</v>
      </c>
    </row>
    <row r="25" spans="1:36">
      <c r="D25" s="38" t="s">
        <v>229</v>
      </c>
      <c r="I25" s="37"/>
      <c r="J25" s="36"/>
      <c r="K25" s="36"/>
      <c r="L25" s="36"/>
      <c r="M25" s="36"/>
      <c r="O25" s="36"/>
      <c r="P25" s="36"/>
    </row>
    <row r="26" spans="1:36" ht="15" thickBot="1">
      <c r="D26" s="35" t="s">
        <v>228</v>
      </c>
      <c r="E26" s="35" t="s">
        <v>227</v>
      </c>
      <c r="F26" s="35" t="s">
        <v>198</v>
      </c>
      <c r="G26" s="35" t="s">
        <v>226</v>
      </c>
      <c r="H26" s="34" t="str">
        <f>Regions!C$3</f>
        <v>IE</v>
      </c>
      <c r="I26" s="34" t="str">
        <f>Regions!E$3</f>
        <v>IE-CW</v>
      </c>
      <c r="J26" s="34" t="str">
        <f>Regions!F$3</f>
        <v>IE-D</v>
      </c>
      <c r="K26" s="34" t="str">
        <f>Regions!G$3</f>
        <v>IE-KE</v>
      </c>
      <c r="L26" s="34" t="str">
        <f>Regions!H$3</f>
        <v>IE-KK</v>
      </c>
      <c r="M26" s="34" t="str">
        <f>Regions!I$3</f>
        <v>IE-LS</v>
      </c>
      <c r="N26" s="34" t="str">
        <f>Regions!J$3</f>
        <v>IE-LD</v>
      </c>
      <c r="O26" s="34" t="str">
        <f>Regions!K$3</f>
        <v>IE-LH</v>
      </c>
      <c r="P26" s="34" t="str">
        <f>Regions!L$3</f>
        <v>IE-MH</v>
      </c>
      <c r="Q26" s="34" t="str">
        <f>Regions!M$3</f>
        <v>IE-OY</v>
      </c>
      <c r="R26" s="34" t="str">
        <f>Regions!N$3</f>
        <v>IE-WH</v>
      </c>
      <c r="S26" s="34" t="str">
        <f>Regions!O$3</f>
        <v>IE-WX</v>
      </c>
      <c r="T26" s="34" t="str">
        <f>Regions!P$3</f>
        <v>IE-WW</v>
      </c>
      <c r="U26" s="34" t="str">
        <f>Regions!Q$3</f>
        <v>IE-CE</v>
      </c>
      <c r="V26" s="34" t="str">
        <f>Regions!R$3</f>
        <v>IE-CO</v>
      </c>
      <c r="W26" s="34" t="str">
        <f>Regions!S$3</f>
        <v>IE-KY</v>
      </c>
      <c r="X26" s="34" t="str">
        <f>Regions!T$3</f>
        <v>IE-LK</v>
      </c>
      <c r="Y26" s="34" t="str">
        <f>Regions!U$3</f>
        <v>IE-TA</v>
      </c>
      <c r="Z26" s="34" t="str">
        <f>Regions!V$3</f>
        <v>IE-WD</v>
      </c>
      <c r="AA26" s="34" t="str">
        <f>Regions!W$3</f>
        <v>IE-G</v>
      </c>
      <c r="AB26" s="34" t="str">
        <f>Regions!X$3</f>
        <v>IE-LM</v>
      </c>
      <c r="AC26" s="34" t="str">
        <f>Regions!Y$3</f>
        <v>IE-MO</v>
      </c>
      <c r="AD26" s="34" t="str">
        <f>Regions!Z$3</f>
        <v>IE-RN</v>
      </c>
      <c r="AE26" s="34" t="str">
        <f>Regions!AA$3</f>
        <v>IE-SO</v>
      </c>
      <c r="AF26" s="34" t="str">
        <f>Regions!AB$3</f>
        <v>IE-CN</v>
      </c>
      <c r="AG26" s="34" t="str">
        <f>Regions!AC$3</f>
        <v>IE-DL</v>
      </c>
      <c r="AH26" s="34" t="str">
        <f>Regions!AD$3</f>
        <v>IE-MN</v>
      </c>
      <c r="AI26" s="33" t="s">
        <v>225</v>
      </c>
      <c r="AJ26" s="33" t="s">
        <v>224</v>
      </c>
    </row>
    <row r="27" spans="1:36">
      <c r="A27" t="str">
        <f>AI27</f>
        <v>T-CAR*, T-LGT*, T-HGT*</v>
      </c>
      <c r="E27" t="s">
        <v>223</v>
      </c>
      <c r="F27" t="str">
        <f>F6</f>
        <v>NCAP_BND</v>
      </c>
      <c r="G27">
        <v>2020</v>
      </c>
      <c r="H27" s="32">
        <v>0</v>
      </c>
      <c r="I27" s="364">
        <f>H27</f>
        <v>0</v>
      </c>
      <c r="J27" s="364">
        <f t="shared" ref="J27:AH27" si="3">I27</f>
        <v>0</v>
      </c>
      <c r="K27" s="364">
        <f t="shared" si="3"/>
        <v>0</v>
      </c>
      <c r="L27" s="364">
        <f t="shared" si="3"/>
        <v>0</v>
      </c>
      <c r="M27" s="364">
        <f t="shared" si="3"/>
        <v>0</v>
      </c>
      <c r="N27" s="364">
        <f t="shared" si="3"/>
        <v>0</v>
      </c>
      <c r="O27" s="364">
        <f t="shared" si="3"/>
        <v>0</v>
      </c>
      <c r="P27" s="364">
        <f t="shared" si="3"/>
        <v>0</v>
      </c>
      <c r="Q27" s="364">
        <f t="shared" si="3"/>
        <v>0</v>
      </c>
      <c r="R27" s="364">
        <f t="shared" si="3"/>
        <v>0</v>
      </c>
      <c r="S27" s="364">
        <f t="shared" si="3"/>
        <v>0</v>
      </c>
      <c r="T27" s="364">
        <f t="shared" si="3"/>
        <v>0</v>
      </c>
      <c r="U27" s="364">
        <f t="shared" si="3"/>
        <v>0</v>
      </c>
      <c r="V27" s="364">
        <f t="shared" si="3"/>
        <v>0</v>
      </c>
      <c r="W27" s="364">
        <f t="shared" si="3"/>
        <v>0</v>
      </c>
      <c r="X27" s="364">
        <f t="shared" si="3"/>
        <v>0</v>
      </c>
      <c r="Y27" s="364">
        <f t="shared" si="3"/>
        <v>0</v>
      </c>
      <c r="Z27" s="364">
        <f t="shared" si="3"/>
        <v>0</v>
      </c>
      <c r="AA27" s="364">
        <f t="shared" si="3"/>
        <v>0</v>
      </c>
      <c r="AB27" s="364">
        <f t="shared" si="3"/>
        <v>0</v>
      </c>
      <c r="AC27" s="364">
        <f t="shared" si="3"/>
        <v>0</v>
      </c>
      <c r="AD27" s="364">
        <f t="shared" si="3"/>
        <v>0</v>
      </c>
      <c r="AE27" s="364">
        <f t="shared" si="3"/>
        <v>0</v>
      </c>
      <c r="AF27" s="364">
        <f t="shared" si="3"/>
        <v>0</v>
      </c>
      <c r="AG27" s="364">
        <f t="shared" si="3"/>
        <v>0</v>
      </c>
      <c r="AH27" s="364">
        <f t="shared" si="3"/>
        <v>0</v>
      </c>
      <c r="AI27" t="s">
        <v>540</v>
      </c>
      <c r="AJ27" t="str">
        <f>AJ6</f>
        <v>*New</v>
      </c>
    </row>
    <row r="28" spans="1:36">
      <c r="A28" t="str">
        <f t="shared" ref="A28:A38" si="4">AI28</f>
        <v>T-CAR-ICE_DST21</v>
      </c>
      <c r="B28" t="s">
        <v>391</v>
      </c>
      <c r="E28" t="s">
        <v>223</v>
      </c>
      <c r="F28" t="s">
        <v>222</v>
      </c>
      <c r="G28">
        <v>2020</v>
      </c>
      <c r="H28" s="384">
        <f>SUMIFS('New vehicle sales'!$G$186:$G$215,'New vehicle sales'!$C$186:$C$215,'TRA-CAPs'!G28,'New vehicle sales'!$E$186:$E$215,B28)/1000</f>
        <v>36.207999999999998</v>
      </c>
      <c r="I28" s="364">
        <f>$H28*'New vehicle sales'!D$44</f>
        <v>0.43289632444430876</v>
      </c>
      <c r="J28" s="364">
        <f>$H28*'New vehicle sales'!E$44</f>
        <v>10.244972226638103</v>
      </c>
      <c r="K28" s="364">
        <f>$H28*'New vehicle sales'!F$44</f>
        <v>1.6918633417789024</v>
      </c>
      <c r="L28" s="364">
        <f>$H28*'New vehicle sales'!G$44</f>
        <v>0.75453467412452835</v>
      </c>
      <c r="M28" s="364">
        <f>$H28*'New vehicle sales'!H$44</f>
        <v>0.64401426247909122</v>
      </c>
      <c r="N28" s="364">
        <f>$H28*'New vehicle sales'!I$44</f>
        <v>0.31078780771819425</v>
      </c>
      <c r="O28" s="364">
        <f>$H28*'New vehicle sales'!J$44</f>
        <v>0.98000087612731501</v>
      </c>
      <c r="P28" s="364">
        <f>$H28*'New vehicle sales'!K$44</f>
        <v>1.4830645455089537</v>
      </c>
      <c r="Q28" s="364">
        <f>$H28*'New vehicle sales'!L$44</f>
        <v>0.59279544632197634</v>
      </c>
      <c r="R28" s="364">
        <f>$H28*'New vehicle sales'!M$44</f>
        <v>0.6749843097189856</v>
      </c>
      <c r="S28" s="364">
        <f>$H28*'New vehicle sales'!N$44</f>
        <v>1.1384476829981522</v>
      </c>
      <c r="T28" s="364">
        <f>$H28*'New vehicle sales'!O$44</f>
        <v>1.0829631667424413</v>
      </c>
      <c r="U28" s="364">
        <f>$H28*'New vehicle sales'!P$44</f>
        <v>0.90345399040081908</v>
      </c>
      <c r="V28" s="364">
        <f>$H28*'New vehicle sales'!Q$44</f>
        <v>4.1278290216123272</v>
      </c>
      <c r="W28" s="364">
        <f>$H28*'New vehicle sales'!R$44</f>
        <v>1.123126139863267</v>
      </c>
      <c r="X28" s="364">
        <f>$H28*'New vehicle sales'!S$44</f>
        <v>1.4819620027027214</v>
      </c>
      <c r="Y28" s="364">
        <f>$H28*'New vehicle sales'!T$44</f>
        <v>1.2132000852607112</v>
      </c>
      <c r="Z28" s="364">
        <f>$H28*'New vehicle sales'!U$44</f>
        <v>0.88337250384040633</v>
      </c>
      <c r="AA28" s="364">
        <f>$H28*'New vehicle sales'!V$44</f>
        <v>1.9622068378670947</v>
      </c>
      <c r="AB28" s="364">
        <f>$H28*'New vehicle sales'!W$44</f>
        <v>0.24365435643387603</v>
      </c>
      <c r="AC28" s="364">
        <f>$H28*'New vehicle sales'!X$44</f>
        <v>0.99234175181362694</v>
      </c>
      <c r="AD28" s="364">
        <f>$H28*'New vehicle sales'!Y$44</f>
        <v>0.49077601989976577</v>
      </c>
      <c r="AE28" s="364">
        <f>$H28*'New vehicle sales'!Z$44</f>
        <v>0.49831132969960262</v>
      </c>
      <c r="AF28" s="364">
        <f>$H28*'New vehicle sales'!AA$44</f>
        <v>0.57922276419008056</v>
      </c>
      <c r="AG28" s="364">
        <f>$H28*'New vehicle sales'!AB$44</f>
        <v>1.2104551338603666</v>
      </c>
      <c r="AH28" s="364">
        <f>$H28*'New vehicle sales'!AC$44</f>
        <v>0.46676339795437255</v>
      </c>
      <c r="AI28" t="str">
        <f>'New vehicle sales'!B58</f>
        <v>T-CAR-ICE_DST21</v>
      </c>
      <c r="AJ28" t="s">
        <v>221</v>
      </c>
    </row>
    <row r="29" spans="1:36">
      <c r="A29" t="str">
        <f t="shared" si="4"/>
        <v>T-CAR-ICE_GSL21</v>
      </c>
      <c r="B29" t="s">
        <v>399</v>
      </c>
      <c r="E29" t="s">
        <v>223</v>
      </c>
      <c r="F29" t="s">
        <v>222</v>
      </c>
      <c r="G29">
        <v>2020</v>
      </c>
      <c r="H29" s="384">
        <f>SUMIFS('New vehicle sales'!$G$186:$G$215,'New vehicle sales'!$C$186:$C$215,'TRA-CAPs'!G29,'New vehicle sales'!$E$186:$E$215,B29)/1000</f>
        <v>31.507000000000001</v>
      </c>
      <c r="I29" s="364">
        <f>$H29*'New vehicle sales'!D$44</f>
        <v>0.37669201541832847</v>
      </c>
      <c r="J29" s="364">
        <f>$H29*'New vehicle sales'!E$44</f>
        <v>8.9148348416009373</v>
      </c>
      <c r="K29" s="364">
        <f>$H29*'New vehicle sales'!F$44</f>
        <v>1.472203333777836</v>
      </c>
      <c r="L29" s="364">
        <f>$H29*'New vehicle sales'!G$44</f>
        <v>0.6565710334081285</v>
      </c>
      <c r="M29" s="364">
        <f>$H29*'New vehicle sales'!H$44</f>
        <v>0.56039983892865464</v>
      </c>
      <c r="N29" s="364">
        <f>$H29*'New vehicle sales'!I$44</f>
        <v>0.27043723646092427</v>
      </c>
      <c r="O29" s="364">
        <f>$H29*'New vehicle sales'!J$44</f>
        <v>0.85276424006140394</v>
      </c>
      <c r="P29" s="364">
        <f>$H29*'New vehicle sales'!K$44</f>
        <v>1.2905135504681455</v>
      </c>
      <c r="Q29" s="364">
        <f>$H29*'New vehicle sales'!L$44</f>
        <v>0.51583092485822224</v>
      </c>
      <c r="R29" s="364">
        <f>$H29*'New vehicle sales'!M$44</f>
        <v>0.58734894626370082</v>
      </c>
      <c r="S29" s="364">
        <f>$H29*'New vehicle sales'!N$44</f>
        <v>0.99063939317893235</v>
      </c>
      <c r="T29" s="364">
        <f>$H29*'New vehicle sales'!O$44</f>
        <v>0.9423586084443798</v>
      </c>
      <c r="U29" s="364">
        <f>$H29*'New vehicle sales'!P$44</f>
        <v>0.78615568038993067</v>
      </c>
      <c r="V29" s="364">
        <f>$H29*'New vehicle sales'!Q$44</f>
        <v>3.5918998283235641</v>
      </c>
      <c r="W29" s="364">
        <f>$H29*'New vehicle sales'!R$44</f>
        <v>0.97730709480424105</v>
      </c>
      <c r="X29" s="364">
        <f>$H29*'New vehicle sales'!S$44</f>
        <v>1.2895541543071876</v>
      </c>
      <c r="Y29" s="364">
        <f>$H29*'New vehicle sales'!T$44</f>
        <v>1.055686452891881</v>
      </c>
      <c r="Z29" s="364">
        <f>$H29*'New vehicle sales'!U$44</f>
        <v>0.76868143721000015</v>
      </c>
      <c r="AA29" s="364">
        <f>$H29*'New vehicle sales'!V$44</f>
        <v>1.7074472724447238</v>
      </c>
      <c r="AB29" s="364">
        <f>$H29*'New vehicle sales'!W$44</f>
        <v>0.2120199350464575</v>
      </c>
      <c r="AC29" s="364">
        <f>$H29*'New vehicle sales'!X$44</f>
        <v>0.86350286053888503</v>
      </c>
      <c r="AD29" s="364">
        <f>$H29*'New vehicle sales'!Y$44</f>
        <v>0.42705700560599652</v>
      </c>
      <c r="AE29" s="364">
        <f>$H29*'New vehicle sales'!Z$44</f>
        <v>0.43361398212675045</v>
      </c>
      <c r="AF29" s="364">
        <f>$H29*'New vehicle sales'!AA$44</f>
        <v>0.50402042729056751</v>
      </c>
      <c r="AG29" s="364">
        <f>$H29*'New vehicle sales'!AB$44</f>
        <v>1.053297887277358</v>
      </c>
      <c r="AH29" s="364">
        <f>$H29*'New vehicle sales'!AC$44</f>
        <v>0.4061620188728573</v>
      </c>
      <c r="AI29" t="str">
        <f>'New vehicle sales'!B57</f>
        <v>T-CAR-ICE_GSL21</v>
      </c>
      <c r="AJ29" t="s">
        <v>221</v>
      </c>
    </row>
    <row r="30" spans="1:36">
      <c r="A30" t="str">
        <f t="shared" si="4"/>
        <v>T-CAR-HEV_GSL21</v>
      </c>
      <c r="B30" t="s">
        <v>558</v>
      </c>
      <c r="E30" t="s">
        <v>223</v>
      </c>
      <c r="F30" t="s">
        <v>222</v>
      </c>
      <c r="G30">
        <v>2020</v>
      </c>
      <c r="H30" s="384">
        <f>SUMIFS('New vehicle sales'!$G$186:$G$215,'New vehicle sales'!$C$186:$C$215,'TRA-CAPs'!G30,'New vehicle sales'!$E$186:$E$215,B30)/1000</f>
        <v>12.654</v>
      </c>
      <c r="I30" s="364">
        <f>$H30*'New vehicle sales'!D$44</f>
        <v>0.15128894414268348</v>
      </c>
      <c r="J30" s="364">
        <f>$H30*'New vehicle sales'!E$44</f>
        <v>3.5804208615741979</v>
      </c>
      <c r="K30" s="364">
        <f>$H30*'New vehicle sales'!F$44</f>
        <v>0.59127371649553229</v>
      </c>
      <c r="L30" s="364">
        <f>$H30*'New vehicle sales'!G$44</f>
        <v>0.26369536473629535</v>
      </c>
      <c r="M30" s="364">
        <f>$H30*'New vehicle sales'!H$44</f>
        <v>0.22507060531955425</v>
      </c>
      <c r="N30" s="364">
        <f>$H30*'New vehicle sales'!I$44</f>
        <v>0.1086143647499456</v>
      </c>
      <c r="O30" s="364">
        <f>$H30*'New vehicle sales'!J$44</f>
        <v>0.3424914683637606</v>
      </c>
      <c r="P30" s="364">
        <f>$H30*'New vehicle sales'!K$44</f>
        <v>0.51830255078629861</v>
      </c>
      <c r="Q30" s="364">
        <f>$H30*'New vehicle sales'!L$44</f>
        <v>0.20717061361462352</v>
      </c>
      <c r="R30" s="364">
        <f>$H30*'New vehicle sales'!M$44</f>
        <v>0.23589404151524646</v>
      </c>
      <c r="S30" s="364">
        <f>$H30*'New vehicle sales'!N$44</f>
        <v>0.39786558165760655</v>
      </c>
      <c r="T30" s="364">
        <f>$H30*'New vehicle sales'!O$44</f>
        <v>0.37847480976466125</v>
      </c>
      <c r="U30" s="364">
        <f>$H30*'New vehicle sales'!P$44</f>
        <v>0.31573980320735656</v>
      </c>
      <c r="V30" s="364">
        <f>$H30*'New vehicle sales'!Q$44</f>
        <v>1.4425968968040872</v>
      </c>
      <c r="W30" s="364">
        <f>$H30*'New vehicle sales'!R$44</f>
        <v>0.39251099684682345</v>
      </c>
      <c r="X30" s="364">
        <f>$H30*'New vehicle sales'!S$44</f>
        <v>0.51791723326889738</v>
      </c>
      <c r="Y30" s="364">
        <f>$H30*'New vehicle sales'!T$44</f>
        <v>0.42399010933741271</v>
      </c>
      <c r="Z30" s="364">
        <f>$H30*'New vehicle sales'!U$44</f>
        <v>0.30872170966627549</v>
      </c>
      <c r="AA30" s="364">
        <f>$H30*'New vehicle sales'!V$44</f>
        <v>0.68575357176232377</v>
      </c>
      <c r="AB30" s="364">
        <f>$H30*'New vehicle sales'!W$44</f>
        <v>8.5152513983491704E-2</v>
      </c>
      <c r="AC30" s="364">
        <f>$H30*'New vehicle sales'!X$44</f>
        <v>0.34680436719646585</v>
      </c>
      <c r="AD30" s="364">
        <f>$H30*'New vehicle sales'!Y$44</f>
        <v>0.17151678512515567</v>
      </c>
      <c r="AE30" s="364">
        <f>$H30*'New vehicle sales'!Z$44</f>
        <v>0.17415023105442917</v>
      </c>
      <c r="AF30" s="364">
        <f>$H30*'New vehicle sales'!AA$44</f>
        <v>0.20242722210730443</v>
      </c>
      <c r="AG30" s="364">
        <f>$H30*'New vehicle sales'!AB$44</f>
        <v>0.42303080158719292</v>
      </c>
      <c r="AH30" s="364">
        <f>$H30*'New vehicle sales'!AC$44</f>
        <v>0.1631248353323749</v>
      </c>
      <c r="AI30" t="str">
        <f>'New vehicle sales'!B63</f>
        <v>T-CAR-HEV_GSL21</v>
      </c>
      <c r="AJ30" t="s">
        <v>221</v>
      </c>
    </row>
    <row r="31" spans="1:36">
      <c r="A31" t="str">
        <f t="shared" si="4"/>
        <v>T-CAR-BEV100_ELC21</v>
      </c>
      <c r="B31" t="s">
        <v>389</v>
      </c>
      <c r="E31" t="s">
        <v>223</v>
      </c>
      <c r="F31" t="s">
        <v>222</v>
      </c>
      <c r="G31">
        <v>2020</v>
      </c>
      <c r="H31" s="384">
        <f>SUMIFS('New vehicle sales'!$G$186:$G$215,'New vehicle sales'!$C$186:$C$215,'TRA-CAPs'!G31,'New vehicle sales'!$E$186:$E$215,B31)/1000</f>
        <v>3.94</v>
      </c>
      <c r="I31" s="364">
        <f>$H31*'New vehicle sales'!D$44</f>
        <v>4.710593013451659E-2</v>
      </c>
      <c r="J31" s="364">
        <f>$H31*'New vehicle sales'!E$44</f>
        <v>1.1148141452981144</v>
      </c>
      <c r="K31" s="364">
        <f>$H31*'New vehicle sales'!F$44</f>
        <v>0.18410134684624602</v>
      </c>
      <c r="L31" s="364">
        <f>$H31*'New vehicle sales'!G$44</f>
        <v>8.2105242378773799E-2</v>
      </c>
      <c r="M31" s="364">
        <f>$H31*'New vehicle sales'!H$44</f>
        <v>7.007888295867265E-2</v>
      </c>
      <c r="N31" s="364">
        <f>$H31*'New vehicle sales'!I$44</f>
        <v>3.3818602585331564E-2</v>
      </c>
      <c r="O31" s="364">
        <f>$H31*'New vehicle sales'!J$44</f>
        <v>0.10663951203992546</v>
      </c>
      <c r="P31" s="364">
        <f>$H31*'New vehicle sales'!K$44</f>
        <v>0.16138075312928851</v>
      </c>
      <c r="Q31" s="364">
        <f>$H31*'New vehicle sales'!L$44</f>
        <v>6.4505470020674624E-2</v>
      </c>
      <c r="R31" s="364">
        <f>$H31*'New vehicle sales'!M$44</f>
        <v>7.3448911298409289E-2</v>
      </c>
      <c r="S31" s="364">
        <f>$H31*'New vehicle sales'!N$44</f>
        <v>0.12388101720649358</v>
      </c>
      <c r="T31" s="364">
        <f>$H31*'New vehicle sales'!O$44</f>
        <v>0.11784342899263199</v>
      </c>
      <c r="U31" s="364">
        <f>$H31*'New vehicle sales'!P$44</f>
        <v>9.8310006688555773E-2</v>
      </c>
      <c r="V31" s="364">
        <f>$H31*'New vehicle sales'!Q$44</f>
        <v>0.44917273379232686</v>
      </c>
      <c r="W31" s="364">
        <f>$H31*'New vehicle sales'!R$44</f>
        <v>0.1222137922851655</v>
      </c>
      <c r="X31" s="364">
        <f>$H31*'New vehicle sales'!S$44</f>
        <v>0.16126077912750558</v>
      </c>
      <c r="Y31" s="364">
        <f>$H31*'New vehicle sales'!T$44</f>
        <v>0.13201525452737523</v>
      </c>
      <c r="Z31" s="364">
        <f>$H31*'New vehicle sales'!U$44</f>
        <v>9.612482504228903E-2</v>
      </c>
      <c r="AA31" s="364">
        <f>$H31*'New vehicle sales'!V$44</f>
        <v>0.21351897208341675</v>
      </c>
      <c r="AB31" s="364">
        <f>$H31*'New vehicle sales'!W$44</f>
        <v>2.6513426987115323E-2</v>
      </c>
      <c r="AC31" s="364">
        <f>$H31*'New vehicle sales'!X$44</f>
        <v>0.10798239345298526</v>
      </c>
      <c r="AD31" s="364">
        <f>$H31*'New vehicle sales'!Y$44</f>
        <v>5.340415152466519E-2</v>
      </c>
      <c r="AE31" s="364">
        <f>$H31*'New vehicle sales'!Z$44</f>
        <v>5.4224111771333253E-2</v>
      </c>
      <c r="AF31" s="364">
        <f>$H31*'New vehicle sales'!AA$44</f>
        <v>6.3028548688381494E-2</v>
      </c>
      <c r="AG31" s="364">
        <f>$H31*'New vehicle sales'!AB$44</f>
        <v>0.13171656063328119</v>
      </c>
      <c r="AH31" s="364">
        <f>$H31*'New vehicle sales'!AC$44</f>
        <v>5.0791200506524192E-2</v>
      </c>
      <c r="AI31" t="str">
        <f>'New vehicle sales'!B71</f>
        <v>T-CAR-BEV100_ELC21</v>
      </c>
      <c r="AJ31" t="s">
        <v>221</v>
      </c>
    </row>
    <row r="32" spans="1:36">
      <c r="A32" t="str">
        <f t="shared" si="4"/>
        <v>T-CAR-PHEV40_GSL21</v>
      </c>
      <c r="E32" t="s">
        <v>223</v>
      </c>
      <c r="F32" t="s">
        <v>222</v>
      </c>
      <c r="G32">
        <v>2020</v>
      </c>
      <c r="H32" s="384">
        <f>SUMIFS('New vehicle sales'!$G$186:$G$215,'New vehicle sales'!$C$186:$C$215,'TRA-CAPs'!G32,'New vehicle sales'!$E$186:$E$215,B32)/1000</f>
        <v>0</v>
      </c>
      <c r="I32" s="364">
        <f>$H32*'New vehicle sales'!D$44</f>
        <v>0</v>
      </c>
      <c r="J32" s="364">
        <f>$H32*'New vehicle sales'!E$44</f>
        <v>0</v>
      </c>
      <c r="K32" s="364">
        <f>$H32*'New vehicle sales'!F$44</f>
        <v>0</v>
      </c>
      <c r="L32" s="364">
        <f>$H32*'New vehicle sales'!G$44</f>
        <v>0</v>
      </c>
      <c r="M32" s="364">
        <f>$H32*'New vehicle sales'!H$44</f>
        <v>0</v>
      </c>
      <c r="N32" s="364">
        <f>$H32*'New vehicle sales'!I$44</f>
        <v>0</v>
      </c>
      <c r="O32" s="364">
        <f>$H32*'New vehicle sales'!J$44</f>
        <v>0</v>
      </c>
      <c r="P32" s="364">
        <f>$H32*'New vehicle sales'!K$44</f>
        <v>0</v>
      </c>
      <c r="Q32" s="364">
        <f>$H32*'New vehicle sales'!L$44</f>
        <v>0</v>
      </c>
      <c r="R32" s="364">
        <f>$H32*'New vehicle sales'!M$44</f>
        <v>0</v>
      </c>
      <c r="S32" s="364">
        <f>$H32*'New vehicle sales'!N$44</f>
        <v>0</v>
      </c>
      <c r="T32" s="364">
        <f>$H32*'New vehicle sales'!O$44</f>
        <v>0</v>
      </c>
      <c r="U32" s="364">
        <f>$H32*'New vehicle sales'!P$44</f>
        <v>0</v>
      </c>
      <c r="V32" s="364">
        <f>$H32*'New vehicle sales'!Q$44</f>
        <v>0</v>
      </c>
      <c r="W32" s="364">
        <f>$H32*'New vehicle sales'!R$44</f>
        <v>0</v>
      </c>
      <c r="X32" s="364">
        <f>$H32*'New vehicle sales'!S$44</f>
        <v>0</v>
      </c>
      <c r="Y32" s="364">
        <f>$H32*'New vehicle sales'!T$44</f>
        <v>0</v>
      </c>
      <c r="Z32" s="364">
        <f>$H32*'New vehicle sales'!U$44</f>
        <v>0</v>
      </c>
      <c r="AA32" s="364">
        <f>$H32*'New vehicle sales'!V$44</f>
        <v>0</v>
      </c>
      <c r="AB32" s="364">
        <f>$H32*'New vehicle sales'!W$44</f>
        <v>0</v>
      </c>
      <c r="AC32" s="364">
        <f>$H32*'New vehicle sales'!X$44</f>
        <v>0</v>
      </c>
      <c r="AD32" s="364">
        <f>$H32*'New vehicle sales'!Y$44</f>
        <v>0</v>
      </c>
      <c r="AE32" s="364">
        <f>$H32*'New vehicle sales'!Z$44</f>
        <v>0</v>
      </c>
      <c r="AF32" s="364">
        <f>$H32*'New vehicle sales'!AA$44</f>
        <v>0</v>
      </c>
      <c r="AG32" s="364">
        <f>$H32*'New vehicle sales'!AB$44</f>
        <v>0</v>
      </c>
      <c r="AH32" s="364">
        <f>$H32*'New vehicle sales'!AC$44</f>
        <v>0</v>
      </c>
      <c r="AI32" t="str">
        <f>'New vehicle sales'!B67</f>
        <v>T-CAR-PHEV40_GSL21</v>
      </c>
      <c r="AJ32" t="s">
        <v>221</v>
      </c>
    </row>
    <row r="33" spans="1:36">
      <c r="A33" t="str">
        <f t="shared" si="4"/>
        <v>T-CAR-HEV_DST21</v>
      </c>
      <c r="E33" t="s">
        <v>223</v>
      </c>
      <c r="F33" t="s">
        <v>222</v>
      </c>
      <c r="G33">
        <v>2020</v>
      </c>
      <c r="H33" s="384">
        <f>SUMIFS('New vehicle sales'!$G$186:$G$215,'New vehicle sales'!$C$186:$C$215,'TRA-CAPs'!G33,'New vehicle sales'!$E$186:$E$215,B33)/1000</f>
        <v>0</v>
      </c>
      <c r="I33" s="364">
        <f>$H33*'New vehicle sales'!D$44</f>
        <v>0</v>
      </c>
      <c r="J33" s="364">
        <f>$H33*'New vehicle sales'!E$44</f>
        <v>0</v>
      </c>
      <c r="K33" s="364">
        <f>$H33*'New vehicle sales'!F$44</f>
        <v>0</v>
      </c>
      <c r="L33" s="364">
        <f>$H33*'New vehicle sales'!G$44</f>
        <v>0</v>
      </c>
      <c r="M33" s="364">
        <f>$H33*'New vehicle sales'!H$44</f>
        <v>0</v>
      </c>
      <c r="N33" s="364">
        <f>$H33*'New vehicle sales'!I$44</f>
        <v>0</v>
      </c>
      <c r="O33" s="364">
        <f>$H33*'New vehicle sales'!J$44</f>
        <v>0</v>
      </c>
      <c r="P33" s="364">
        <f>$H33*'New vehicle sales'!K$44</f>
        <v>0</v>
      </c>
      <c r="Q33" s="364">
        <f>$H33*'New vehicle sales'!L$44</f>
        <v>0</v>
      </c>
      <c r="R33" s="364">
        <f>$H33*'New vehicle sales'!M$44</f>
        <v>0</v>
      </c>
      <c r="S33" s="364">
        <f>$H33*'New vehicle sales'!N$44</f>
        <v>0</v>
      </c>
      <c r="T33" s="364">
        <f>$H33*'New vehicle sales'!O$44</f>
        <v>0</v>
      </c>
      <c r="U33" s="364">
        <f>$H33*'New vehicle sales'!P$44</f>
        <v>0</v>
      </c>
      <c r="V33" s="364">
        <f>$H33*'New vehicle sales'!Q$44</f>
        <v>0</v>
      </c>
      <c r="W33" s="364">
        <f>$H33*'New vehicle sales'!R$44</f>
        <v>0</v>
      </c>
      <c r="X33" s="364">
        <f>$H33*'New vehicle sales'!S$44</f>
        <v>0</v>
      </c>
      <c r="Y33" s="364">
        <f>$H33*'New vehicle sales'!T$44</f>
        <v>0</v>
      </c>
      <c r="Z33" s="364">
        <f>$H33*'New vehicle sales'!U$44</f>
        <v>0</v>
      </c>
      <c r="AA33" s="364">
        <f>$H33*'New vehicle sales'!V$44</f>
        <v>0</v>
      </c>
      <c r="AB33" s="364">
        <f>$H33*'New vehicle sales'!W$44</f>
        <v>0</v>
      </c>
      <c r="AC33" s="364">
        <f>$H33*'New vehicle sales'!X$44</f>
        <v>0</v>
      </c>
      <c r="AD33" s="364">
        <f>$H33*'New vehicle sales'!Y$44</f>
        <v>0</v>
      </c>
      <c r="AE33" s="364">
        <f>$H33*'New vehicle sales'!Z$44</f>
        <v>0</v>
      </c>
      <c r="AF33" s="364">
        <f>$H33*'New vehicle sales'!AA$44</f>
        <v>0</v>
      </c>
      <c r="AG33" s="364">
        <f>$H33*'New vehicle sales'!AB$44</f>
        <v>0</v>
      </c>
      <c r="AH33" s="364">
        <f>$H33*'New vehicle sales'!AC$44</f>
        <v>0</v>
      </c>
      <c r="AI33" t="str">
        <f>'New vehicle sales'!B64</f>
        <v>T-CAR-HEV_DST21</v>
      </c>
      <c r="AJ33" t="s">
        <v>221</v>
      </c>
    </row>
    <row r="34" spans="1:36">
      <c r="A34" t="str">
        <f t="shared" si="4"/>
        <v>T-CAR-PHEV40_DST21</v>
      </c>
      <c r="E34" t="s">
        <v>223</v>
      </c>
      <c r="F34" t="s">
        <v>222</v>
      </c>
      <c r="G34">
        <v>2020</v>
      </c>
      <c r="H34" s="384">
        <f>SUMIFS('New vehicle sales'!$G$186:$G$215,'New vehicle sales'!$C$186:$C$215,'TRA-CAPs'!G34,'New vehicle sales'!$E$186:$E$215,B34)/1000</f>
        <v>0</v>
      </c>
      <c r="I34" s="364">
        <f>$H34*'New vehicle sales'!D$44</f>
        <v>0</v>
      </c>
      <c r="J34" s="364">
        <f>$H34*'New vehicle sales'!E$44</f>
        <v>0</v>
      </c>
      <c r="K34" s="364">
        <f>$H34*'New vehicle sales'!F$44</f>
        <v>0</v>
      </c>
      <c r="L34" s="364">
        <f>$H34*'New vehicle sales'!G$44</f>
        <v>0</v>
      </c>
      <c r="M34" s="364">
        <f>$H34*'New vehicle sales'!H$44</f>
        <v>0</v>
      </c>
      <c r="N34" s="364">
        <f>$H34*'New vehicle sales'!I$44</f>
        <v>0</v>
      </c>
      <c r="O34" s="364">
        <f>$H34*'New vehicle sales'!J$44</f>
        <v>0</v>
      </c>
      <c r="P34" s="364">
        <f>$H34*'New vehicle sales'!K$44</f>
        <v>0</v>
      </c>
      <c r="Q34" s="364">
        <f>$H34*'New vehicle sales'!L$44</f>
        <v>0</v>
      </c>
      <c r="R34" s="364">
        <f>$H34*'New vehicle sales'!M$44</f>
        <v>0</v>
      </c>
      <c r="S34" s="364">
        <f>$H34*'New vehicle sales'!N$44</f>
        <v>0</v>
      </c>
      <c r="T34" s="364">
        <f>$H34*'New vehicle sales'!O$44</f>
        <v>0</v>
      </c>
      <c r="U34" s="364">
        <f>$H34*'New vehicle sales'!P$44</f>
        <v>0</v>
      </c>
      <c r="V34" s="364">
        <f>$H34*'New vehicle sales'!Q$44</f>
        <v>0</v>
      </c>
      <c r="W34" s="364">
        <f>$H34*'New vehicle sales'!R$44</f>
        <v>0</v>
      </c>
      <c r="X34" s="364">
        <f>$H34*'New vehicle sales'!S$44</f>
        <v>0</v>
      </c>
      <c r="Y34" s="364">
        <f>$H34*'New vehicle sales'!T$44</f>
        <v>0</v>
      </c>
      <c r="Z34" s="364">
        <f>$H34*'New vehicle sales'!U$44</f>
        <v>0</v>
      </c>
      <c r="AA34" s="364">
        <f>$H34*'New vehicle sales'!V$44</f>
        <v>0</v>
      </c>
      <c r="AB34" s="364">
        <f>$H34*'New vehicle sales'!W$44</f>
        <v>0</v>
      </c>
      <c r="AC34" s="364">
        <f>$H34*'New vehicle sales'!X$44</f>
        <v>0</v>
      </c>
      <c r="AD34" s="364">
        <f>$H34*'New vehicle sales'!Y$44</f>
        <v>0</v>
      </c>
      <c r="AE34" s="364">
        <f>$H34*'New vehicle sales'!Z$44</f>
        <v>0</v>
      </c>
      <c r="AF34" s="364">
        <f>$H34*'New vehicle sales'!AA$44</f>
        <v>0</v>
      </c>
      <c r="AG34" s="364">
        <f>$H34*'New vehicle sales'!AB$44</f>
        <v>0</v>
      </c>
      <c r="AH34" s="364">
        <f>$H34*'New vehicle sales'!AC$44</f>
        <v>0</v>
      </c>
      <c r="AI34" t="str">
        <f>'New vehicle sales'!B70</f>
        <v>T-CAR-PHEV40_DST21</v>
      </c>
      <c r="AJ34" t="s">
        <v>221</v>
      </c>
    </row>
    <row r="35" spans="1:36">
      <c r="A35" t="str">
        <f t="shared" si="4"/>
        <v>T-LGT-ICE_DST61</v>
      </c>
      <c r="E35" t="s">
        <v>223</v>
      </c>
      <c r="F35" t="s">
        <v>222</v>
      </c>
      <c r="G35">
        <v>2020</v>
      </c>
      <c r="H35" s="384">
        <f>'New vehicle sales'!D19/1000</f>
        <v>20.928000000000001</v>
      </c>
      <c r="I35" s="364">
        <f>$H35*'New vehicle sales'!D$44</f>
        <v>0.25021139742516835</v>
      </c>
      <c r="J35" s="364">
        <f>$H35*'New vehicle sales'!E$44</f>
        <v>5.9215305667002385</v>
      </c>
      <c r="K35" s="364">
        <f>$H35*'New vehicle sales'!F$44</f>
        <v>0.97788654487264892</v>
      </c>
      <c r="L35" s="364">
        <f>$H35*'New vehicle sales'!G$44</f>
        <v>0.43611637373172035</v>
      </c>
      <c r="M35" s="364">
        <f>$H35*'New vehicle sales'!H$44</f>
        <v>0.37223625953276684</v>
      </c>
      <c r="N35" s="364">
        <f>$H35*'New vehicle sales'!I$44</f>
        <v>0.17963343017914188</v>
      </c>
      <c r="O35" s="364">
        <f>$H35*'New vehicle sales'!J$44</f>
        <v>0.56643444364760409</v>
      </c>
      <c r="P35" s="364">
        <f>$H35*'New vehicle sales'!K$44</f>
        <v>0.85720213235780451</v>
      </c>
      <c r="Q35" s="364">
        <f>$H35*'New vehicle sales'!L$44</f>
        <v>0.34263210065804023</v>
      </c>
      <c r="R35" s="364">
        <f>$H35*'New vehicle sales'!M$44</f>
        <v>0.390136755241906</v>
      </c>
      <c r="S35" s="364">
        <f>$H35*'New vehicle sales'!N$44</f>
        <v>0.65801571779124313</v>
      </c>
      <c r="T35" s="364">
        <f>$H35*'New vehicle sales'!O$44</f>
        <v>0.62594601064918842</v>
      </c>
      <c r="U35" s="364">
        <f>$H35*'New vehicle sales'!P$44</f>
        <v>0.52219081725332372</v>
      </c>
      <c r="V35" s="364">
        <f>$H35*'New vehicle sales'!Q$44</f>
        <v>2.3858596377679739</v>
      </c>
      <c r="W35" s="364">
        <f>$H35*'New vehicle sales'!R$44</f>
        <v>0.64915996064567105</v>
      </c>
      <c r="X35" s="364">
        <f>$H35*'New vehicle sales'!S$44</f>
        <v>0.85656486943665922</v>
      </c>
      <c r="Y35" s="364">
        <f>$H35*'New vehicle sales'!T$44</f>
        <v>0.70122214384490067</v>
      </c>
      <c r="Z35" s="364">
        <f>$H35*'New vehicle sales'!U$44</f>
        <v>0.51058384225508247</v>
      </c>
      <c r="AA35" s="364">
        <f>$H35*'New vehicle sales'!V$44</f>
        <v>1.134143413137499</v>
      </c>
      <c r="AB35" s="364">
        <f>$H35*'New vehicle sales'!W$44</f>
        <v>0.14083071065643388</v>
      </c>
      <c r="AC35" s="364">
        <f>$H35*'New vehicle sales'!X$44</f>
        <v>0.573567393447735</v>
      </c>
      <c r="AD35" s="364">
        <f>$H35*'New vehicle sales'!Y$44</f>
        <v>0.28366550332695256</v>
      </c>
      <c r="AE35" s="364">
        <f>$H35*'New vehicle sales'!Z$44</f>
        <v>0.28802086577422903</v>
      </c>
      <c r="AF35" s="364">
        <f>$H35*'New vehicle sales'!AA$44</f>
        <v>0.33478717435290561</v>
      </c>
      <c r="AG35" s="364">
        <f>$H35*'New vehicle sales'!AB$44</f>
        <v>0.69963557891708339</v>
      </c>
      <c r="AH35" s="364">
        <f>$H35*'New vehicle sales'!AC$44</f>
        <v>0.26978635639607573</v>
      </c>
      <c r="AI35" t="str">
        <f>'New vehicle sales'!B108</f>
        <v>T-LGT-ICE_DST61</v>
      </c>
      <c r="AJ35" t="s">
        <v>221</v>
      </c>
    </row>
    <row r="36" spans="1:36">
      <c r="A36" t="str">
        <f t="shared" si="4"/>
        <v>T-LGT-HEV_DST61</v>
      </c>
      <c r="E36" t="s">
        <v>223</v>
      </c>
      <c r="F36" t="s">
        <v>222</v>
      </c>
      <c r="G36">
        <v>2020</v>
      </c>
      <c r="H36" s="384">
        <f>'New vehicle sales'!D20/1000</f>
        <v>3.5000000000000003E-2</v>
      </c>
      <c r="I36" s="364">
        <f>$H36*'New vehicle sales'!D$44</f>
        <v>4.1845369408834534E-4</v>
      </c>
      <c r="J36" s="364">
        <f>$H36*'New vehicle sales'!E$44</f>
        <v>9.9031713414807123E-3</v>
      </c>
      <c r="K36" s="364">
        <f>$H36*'New vehicle sales'!F$44</f>
        <v>1.6354180557407642E-3</v>
      </c>
      <c r="L36" s="364">
        <f>$H36*'New vehicle sales'!G$44</f>
        <v>7.2936129016677243E-4</v>
      </c>
      <c r="M36" s="364">
        <f>$H36*'New vehicle sales'!H$44</f>
        <v>6.2252814811003629E-4</v>
      </c>
      <c r="N36" s="364">
        <f>$H36*'New vehicle sales'!I$44</f>
        <v>3.0041905849913832E-4</v>
      </c>
      <c r="O36" s="364">
        <f>$H36*'New vehicle sales'!J$44</f>
        <v>9.4730530999933801E-4</v>
      </c>
      <c r="P36" s="364">
        <f>$H36*'New vehicle sales'!K$44</f>
        <v>1.4335853704378421E-3</v>
      </c>
      <c r="Q36" s="364">
        <f>$H36*'New vehicle sales'!L$44</f>
        <v>5.7301813470142439E-4</v>
      </c>
      <c r="R36" s="364">
        <f>$H36*'New vehicle sales'!M$44</f>
        <v>6.5246494808231606E-4</v>
      </c>
      <c r="S36" s="364">
        <f>$H36*'New vehicle sales'!N$44</f>
        <v>1.1004658888901714E-3</v>
      </c>
      <c r="T36" s="364">
        <f>$H36*'New vehicle sales'!O$44</f>
        <v>1.0468324910512996E-3</v>
      </c>
      <c r="U36" s="364">
        <f>$H36*'New vehicle sales'!P$44</f>
        <v>8.7331224215722147E-4</v>
      </c>
      <c r="V36" s="364">
        <f>$H36*'New vehicle sales'!Q$44</f>
        <v>3.9901131174445281E-3</v>
      </c>
      <c r="W36" s="364">
        <f>$H36*'New vehicle sales'!R$44</f>
        <v>1.0856555152235516E-3</v>
      </c>
      <c r="X36" s="364">
        <f>$H36*'New vehicle sales'!S$44</f>
        <v>1.4325196115387553E-3</v>
      </c>
      <c r="Y36" s="364">
        <f>$H36*'New vehicle sales'!T$44</f>
        <v>1.1727243422482571E-3</v>
      </c>
      <c r="Z36" s="364">
        <f>$H36*'New vehicle sales'!U$44</f>
        <v>8.5390073007109548E-4</v>
      </c>
      <c r="AA36" s="364">
        <f>$H36*'New vehicle sales'!V$44</f>
        <v>1.8967421377968495E-3</v>
      </c>
      <c r="AB36" s="364">
        <f>$H36*'New vehicle sales'!W$44</f>
        <v>2.3552536663681126E-4</v>
      </c>
      <c r="AC36" s="364">
        <f>$H36*'New vehicle sales'!X$44</f>
        <v>9.5923445960773718E-4</v>
      </c>
      <c r="AD36" s="364">
        <f>$H36*'New vehicle sales'!Y$44</f>
        <v>4.7440236125971617E-4</v>
      </c>
      <c r="AE36" s="364">
        <f>$H36*'New vehicle sales'!Z$44</f>
        <v>4.8168627208037157E-4</v>
      </c>
      <c r="AF36" s="364">
        <f>$H36*'New vehicle sales'!AA$44</f>
        <v>5.5989827515059716E-4</v>
      </c>
      <c r="AG36" s="364">
        <f>$H36*'New vehicle sales'!AB$44</f>
        <v>1.1700709700925994E-3</v>
      </c>
      <c r="AH36" s="364">
        <f>$H36*'New vehicle sales'!AC$44</f>
        <v>4.5119086744374289E-4</v>
      </c>
      <c r="AI36" t="str">
        <f>'New vehicle sales'!B109</f>
        <v>T-LGT-HEV_DST61</v>
      </c>
      <c r="AJ36" t="s">
        <v>221</v>
      </c>
    </row>
    <row r="37" spans="1:36">
      <c r="A37" t="str">
        <f t="shared" si="4"/>
        <v>T-LGT-BEV_ELC61</v>
      </c>
      <c r="E37" t="s">
        <v>223</v>
      </c>
      <c r="F37" t="s">
        <v>222</v>
      </c>
      <c r="G37">
        <v>2020</v>
      </c>
      <c r="H37" s="384">
        <f>'New vehicle sales'!D21/1000</f>
        <v>0.72699999999999998</v>
      </c>
      <c r="I37" s="364">
        <f>$H37*'New vehicle sales'!D$44</f>
        <v>8.6918810172064865E-3</v>
      </c>
      <c r="J37" s="364">
        <f>$H37*'New vehicle sales'!E$44</f>
        <v>0.20570301615018505</v>
      </c>
      <c r="K37" s="364">
        <f>$H37*'New vehicle sales'!F$44</f>
        <v>3.3969969329243871E-2</v>
      </c>
      <c r="L37" s="364">
        <f>$H37*'New vehicle sales'!G$44</f>
        <v>1.51498759414641E-2</v>
      </c>
      <c r="M37" s="364">
        <f>$H37*'New vehicle sales'!H$44</f>
        <v>1.2930798962171324E-2</v>
      </c>
      <c r="N37" s="364">
        <f>$H37*'New vehicle sales'!I$44</f>
        <v>6.2401330151106724E-3</v>
      </c>
      <c r="O37" s="364">
        <f>$H37*'New vehicle sales'!J$44</f>
        <v>1.9676884581986246E-2</v>
      </c>
      <c r="P37" s="364">
        <f>$H37*'New vehicle sales'!K$44</f>
        <v>2.9777616123094604E-2</v>
      </c>
      <c r="Q37" s="364">
        <f>$H37*'New vehicle sales'!L$44</f>
        <v>1.190240525508387E-2</v>
      </c>
      <c r="R37" s="364">
        <f>$H37*'New vehicle sales'!M$44</f>
        <v>1.3552629064452678E-2</v>
      </c>
      <c r="S37" s="364">
        <f>$H37*'New vehicle sales'!N$44</f>
        <v>2.2858248606375847E-2</v>
      </c>
      <c r="T37" s="364">
        <f>$H37*'New vehicle sales'!O$44</f>
        <v>2.1744206314122706E-2</v>
      </c>
      <c r="U37" s="364">
        <f>$H37*'New vehicle sales'!P$44</f>
        <v>1.8139942858522856E-2</v>
      </c>
      <c r="V37" s="364">
        <f>$H37*'New vehicle sales'!Q$44</f>
        <v>8.2880349610919196E-2</v>
      </c>
      <c r="W37" s="364">
        <f>$H37*'New vehicle sales'!R$44</f>
        <v>2.2550615987643484E-2</v>
      </c>
      <c r="X37" s="364">
        <f>$H37*'New vehicle sales'!S$44</f>
        <v>2.9755478788247858E-2</v>
      </c>
      <c r="Y37" s="364">
        <f>$H37*'New vehicle sales'!T$44</f>
        <v>2.4359159908985226E-2</v>
      </c>
      <c r="Z37" s="364">
        <f>$H37*'New vehicle sales'!U$44</f>
        <v>1.7736738021762469E-2</v>
      </c>
      <c r="AA37" s="364">
        <f>$H37*'New vehicle sales'!V$44</f>
        <v>3.9398043833665984E-2</v>
      </c>
      <c r="AB37" s="364">
        <f>$H37*'New vehicle sales'!W$44</f>
        <v>4.8921983298560508E-3</v>
      </c>
      <c r="AC37" s="364">
        <f>$H37*'New vehicle sales'!X$44</f>
        <v>1.9924670060994996E-2</v>
      </c>
      <c r="AD37" s="364">
        <f>$H37*'New vehicle sales'!Y$44</f>
        <v>9.8540147610232456E-3</v>
      </c>
      <c r="AE37" s="364">
        <f>$H37*'New vehicle sales'!Z$44</f>
        <v>1.0005311994355144E-2</v>
      </c>
      <c r="AF37" s="364">
        <f>$H37*'New vehicle sales'!AA$44</f>
        <v>1.1629887029556687E-2</v>
      </c>
      <c r="AG37" s="364">
        <f>$H37*'New vehicle sales'!AB$44</f>
        <v>2.4304045578780561E-2</v>
      </c>
      <c r="AH37" s="364">
        <f>$H37*'New vehicle sales'!AC$44</f>
        <v>9.3718788751886006E-3</v>
      </c>
      <c r="AI37" t="str">
        <f>'New vehicle sales'!B114</f>
        <v>T-LGT-BEV_ELC61</v>
      </c>
      <c r="AJ37" t="s">
        <v>221</v>
      </c>
    </row>
    <row r="38" spans="1:36">
      <c r="A38" t="str">
        <f t="shared" si="4"/>
        <v>T-HGT-ICE_DST81</v>
      </c>
      <c r="D38" s="30"/>
      <c r="E38" s="30" t="s">
        <v>223</v>
      </c>
      <c r="F38" s="30" t="s">
        <v>222</v>
      </c>
      <c r="G38" s="30">
        <v>2020</v>
      </c>
      <c r="H38" s="385">
        <f>'New vehicle sales'!D34/1000</f>
        <v>1.542</v>
      </c>
      <c r="I38" s="365">
        <f>$H38*'New vehicle sales'!D$44</f>
        <v>1.8435874179549387E-2</v>
      </c>
      <c r="J38" s="365">
        <f>$H38*'New vehicle sales'!E$44</f>
        <v>0.43630543453037879</v>
      </c>
      <c r="K38" s="365">
        <f>$H38*'New vehicle sales'!F$44</f>
        <v>7.2051846912921672E-2</v>
      </c>
      <c r="L38" s="365">
        <f>$H38*'New vehicle sales'!G$44</f>
        <v>3.2133574555347516E-2</v>
      </c>
      <c r="M38" s="365">
        <f>$H38*'New vehicle sales'!H$44</f>
        <v>2.7426811553876454E-2</v>
      </c>
      <c r="N38" s="365">
        <f>$H38*'New vehicle sales'!I$44</f>
        <v>1.3235605377304893E-2</v>
      </c>
      <c r="O38" s="365">
        <f>$H38*'New vehicle sales'!J$44</f>
        <v>4.1735565371970831E-2</v>
      </c>
      <c r="P38" s="365">
        <f>$H38*'New vehicle sales'!K$44</f>
        <v>6.3159675463290071E-2</v>
      </c>
      <c r="Q38" s="365">
        <f>$H38*'New vehicle sales'!L$44</f>
        <v>2.5245541820274182E-2</v>
      </c>
      <c r="R38" s="365">
        <f>$H38*'New vehicle sales'!M$44</f>
        <v>2.8745741426940894E-2</v>
      </c>
      <c r="S38" s="365">
        <f>$H38*'New vehicle sales'!N$44</f>
        <v>4.8483382876246983E-2</v>
      </c>
      <c r="T38" s="365">
        <f>$H38*'New vehicle sales'!O$44</f>
        <v>4.6120448605745823E-2</v>
      </c>
      <c r="U38" s="365">
        <f>$H38*'New vehicle sales'!P$44</f>
        <v>3.847564221161244E-2</v>
      </c>
      <c r="V38" s="365">
        <f>$H38*'New vehicle sales'!Q$44</f>
        <v>0.17579298363141321</v>
      </c>
      <c r="W38" s="365">
        <f>$H38*'New vehicle sales'!R$44</f>
        <v>4.7830880127849036E-2</v>
      </c>
      <c r="X38" s="365">
        <f>$H38*'New vehicle sales'!S$44</f>
        <v>6.3112721171221728E-2</v>
      </c>
      <c r="Y38" s="365">
        <f>$H38*'New vehicle sales'!T$44</f>
        <v>5.1666883878480355E-2</v>
      </c>
      <c r="Z38" s="365">
        <f>$H38*'New vehicle sales'!U$44</f>
        <v>3.762042645056083E-2</v>
      </c>
      <c r="AA38" s="365">
        <f>$H38*'New vehicle sales'!V$44</f>
        <v>8.3565039328078336E-2</v>
      </c>
      <c r="AB38" s="365">
        <f>$H38*'New vehicle sales'!W$44</f>
        <v>1.0376574724398941E-2</v>
      </c>
      <c r="AC38" s="365">
        <f>$H38*'New vehicle sales'!X$44</f>
        <v>4.2261129620432304E-2</v>
      </c>
      <c r="AD38" s="365">
        <f>$H38*'New vehicle sales'!Y$44</f>
        <v>2.090081260178521E-2</v>
      </c>
      <c r="AE38" s="365">
        <f>$H38*'New vehicle sales'!Z$44</f>
        <v>2.122172090136951E-2</v>
      </c>
      <c r="AF38" s="365">
        <f>$H38*'New vehicle sales'!AA$44</f>
        <v>2.4667518293777734E-2</v>
      </c>
      <c r="AG38" s="365">
        <f>$H38*'New vehicle sales'!AB$44</f>
        <v>5.1549983882365376E-2</v>
      </c>
      <c r="AH38" s="365">
        <f>$H38*'New vehicle sales'!AC$44</f>
        <v>1.9878180502807184E-2</v>
      </c>
      <c r="AI38" s="30" t="str">
        <f>'New vehicle sales'!B124</f>
        <v>T-HGT-ICE_DST81</v>
      </c>
      <c r="AJ38" s="30" t="s">
        <v>221</v>
      </c>
    </row>
    <row r="40" spans="1:36">
      <c r="H40" s="367"/>
      <c r="I40" s="366"/>
      <c r="J40" s="366"/>
      <c r="K40" s="348"/>
    </row>
    <row r="42" spans="1:36" ht="21">
      <c r="C42" s="39" t="s">
        <v>538</v>
      </c>
    </row>
    <row r="43" spans="1:36" ht="21">
      <c r="C43" s="39"/>
    </row>
    <row r="44" spans="1:36">
      <c r="C44" t="s">
        <v>230</v>
      </c>
    </row>
    <row r="45" spans="1:36">
      <c r="D45" s="38" t="s">
        <v>229</v>
      </c>
      <c r="I45" s="37"/>
      <c r="J45" s="36"/>
      <c r="K45" s="36"/>
      <c r="L45" s="36"/>
      <c r="M45" s="36"/>
      <c r="O45" s="36"/>
      <c r="P45" s="36"/>
    </row>
    <row r="46" spans="1:36" ht="15" thickBot="1">
      <c r="D46" s="35" t="s">
        <v>228</v>
      </c>
      <c r="E46" s="35" t="s">
        <v>227</v>
      </c>
      <c r="F46" s="35" t="s">
        <v>198</v>
      </c>
      <c r="G46" s="35" t="s">
        <v>226</v>
      </c>
      <c r="H46" s="34" t="str">
        <f>Regions!C$3</f>
        <v>IE</v>
      </c>
      <c r="I46" s="34" t="str">
        <f>Regions!E$3</f>
        <v>IE-CW</v>
      </c>
      <c r="J46" s="34" t="str">
        <f>Regions!F$3</f>
        <v>IE-D</v>
      </c>
      <c r="K46" s="34" t="str">
        <f>Regions!G$3</f>
        <v>IE-KE</v>
      </c>
      <c r="L46" s="34" t="str">
        <f>Regions!H$3</f>
        <v>IE-KK</v>
      </c>
      <c r="M46" s="34" t="str">
        <f>Regions!I$3</f>
        <v>IE-LS</v>
      </c>
      <c r="N46" s="34" t="str">
        <f>Regions!J$3</f>
        <v>IE-LD</v>
      </c>
      <c r="O46" s="34" t="str">
        <f>Regions!K$3</f>
        <v>IE-LH</v>
      </c>
      <c r="P46" s="34" t="str">
        <f>Regions!L$3</f>
        <v>IE-MH</v>
      </c>
      <c r="Q46" s="34" t="str">
        <f>Regions!M$3</f>
        <v>IE-OY</v>
      </c>
      <c r="R46" s="34" t="str">
        <f>Regions!N$3</f>
        <v>IE-WH</v>
      </c>
      <c r="S46" s="34" t="str">
        <f>Regions!O$3</f>
        <v>IE-WX</v>
      </c>
      <c r="T46" s="34" t="str">
        <f>Regions!P$3</f>
        <v>IE-WW</v>
      </c>
      <c r="U46" s="34" t="str">
        <f>Regions!Q$3</f>
        <v>IE-CE</v>
      </c>
      <c r="V46" s="34" t="str">
        <f>Regions!R$3</f>
        <v>IE-CO</v>
      </c>
      <c r="W46" s="34" t="str">
        <f>Regions!S$3</f>
        <v>IE-KY</v>
      </c>
      <c r="X46" s="34" t="str">
        <f>Regions!T$3</f>
        <v>IE-LK</v>
      </c>
      <c r="Y46" s="34" t="str">
        <f>Regions!U$3</f>
        <v>IE-TA</v>
      </c>
      <c r="Z46" s="34" t="str">
        <f>Regions!V$3</f>
        <v>IE-WD</v>
      </c>
      <c r="AA46" s="34" t="str">
        <f>Regions!W$3</f>
        <v>IE-G</v>
      </c>
      <c r="AB46" s="34" t="str">
        <f>Regions!X$3</f>
        <v>IE-LM</v>
      </c>
      <c r="AC46" s="34" t="str">
        <f>Regions!Y$3</f>
        <v>IE-MO</v>
      </c>
      <c r="AD46" s="34" t="str">
        <f>Regions!Z$3</f>
        <v>IE-RN</v>
      </c>
      <c r="AE46" s="34" t="str">
        <f>Regions!AA$3</f>
        <v>IE-SO</v>
      </c>
      <c r="AF46" s="34" t="str">
        <f>Regions!AB$3</f>
        <v>IE-CN</v>
      </c>
      <c r="AG46" s="34" t="str">
        <f>Regions!AC$3</f>
        <v>IE-DL</v>
      </c>
      <c r="AH46" s="34" t="str">
        <f>Regions!AD$3</f>
        <v>IE-MN</v>
      </c>
      <c r="AI46" s="33" t="s">
        <v>225</v>
      </c>
      <c r="AJ46" s="33" t="s">
        <v>224</v>
      </c>
    </row>
    <row r="47" spans="1:36">
      <c r="A47" t="str">
        <f>AI47</f>
        <v>T-CAR*, T-LGT*, T-HGT*</v>
      </c>
      <c r="E47" t="s">
        <v>223</v>
      </c>
      <c r="F47" t="str">
        <f>F6</f>
        <v>NCAP_BND</v>
      </c>
      <c r="G47">
        <v>2021</v>
      </c>
      <c r="H47" s="32">
        <v>0</v>
      </c>
      <c r="I47" s="364">
        <f>H47</f>
        <v>0</v>
      </c>
      <c r="J47" s="364">
        <f t="shared" ref="J47:AH47" si="5">I47</f>
        <v>0</v>
      </c>
      <c r="K47" s="364">
        <f t="shared" si="5"/>
        <v>0</v>
      </c>
      <c r="L47" s="364">
        <f t="shared" si="5"/>
        <v>0</v>
      </c>
      <c r="M47" s="364">
        <f t="shared" si="5"/>
        <v>0</v>
      </c>
      <c r="N47" s="364">
        <f t="shared" si="5"/>
        <v>0</v>
      </c>
      <c r="O47" s="364">
        <f t="shared" si="5"/>
        <v>0</v>
      </c>
      <c r="P47" s="364">
        <f t="shared" si="5"/>
        <v>0</v>
      </c>
      <c r="Q47" s="364">
        <f t="shared" si="5"/>
        <v>0</v>
      </c>
      <c r="R47" s="364">
        <f t="shared" si="5"/>
        <v>0</v>
      </c>
      <c r="S47" s="364">
        <f t="shared" si="5"/>
        <v>0</v>
      </c>
      <c r="T47" s="364">
        <f t="shared" si="5"/>
        <v>0</v>
      </c>
      <c r="U47" s="364">
        <f t="shared" si="5"/>
        <v>0</v>
      </c>
      <c r="V47" s="364">
        <f t="shared" si="5"/>
        <v>0</v>
      </c>
      <c r="W47" s="364">
        <f t="shared" si="5"/>
        <v>0</v>
      </c>
      <c r="X47" s="364">
        <f t="shared" si="5"/>
        <v>0</v>
      </c>
      <c r="Y47" s="364">
        <f t="shared" si="5"/>
        <v>0</v>
      </c>
      <c r="Z47" s="364">
        <f t="shared" si="5"/>
        <v>0</v>
      </c>
      <c r="AA47" s="364">
        <f t="shared" si="5"/>
        <v>0</v>
      </c>
      <c r="AB47" s="364">
        <f t="shared" si="5"/>
        <v>0</v>
      </c>
      <c r="AC47" s="364">
        <f t="shared" si="5"/>
        <v>0</v>
      </c>
      <c r="AD47" s="364">
        <f t="shared" si="5"/>
        <v>0</v>
      </c>
      <c r="AE47" s="364">
        <f t="shared" si="5"/>
        <v>0</v>
      </c>
      <c r="AF47" s="364">
        <f t="shared" si="5"/>
        <v>0</v>
      </c>
      <c r="AG47" s="364">
        <f t="shared" si="5"/>
        <v>0</v>
      </c>
      <c r="AH47" s="364">
        <f t="shared" si="5"/>
        <v>0</v>
      </c>
      <c r="AI47" t="str">
        <f>AI27</f>
        <v>T-CAR*, T-LGT*, T-HGT*</v>
      </c>
      <c r="AJ47" t="str">
        <f>AJ6</f>
        <v>*New</v>
      </c>
    </row>
    <row r="48" spans="1:36">
      <c r="A48" t="str">
        <f t="shared" ref="A48:A58" si="6">AI48</f>
        <v>T-CAR-ICE_DST21</v>
      </c>
      <c r="B48" t="s">
        <v>391</v>
      </c>
      <c r="E48" t="s">
        <v>223</v>
      </c>
      <c r="F48" t="s">
        <v>222</v>
      </c>
      <c r="G48">
        <v>2021</v>
      </c>
      <c r="H48" s="384">
        <f>SUMIFS('New vehicle sales'!$G$186:$G$215,'New vehicle sales'!$C$186:$C$215,'TRA-CAPs'!G48,'New vehicle sales'!$E$186:$E$215,B48)/1000</f>
        <v>34.396000000000001</v>
      </c>
      <c r="I48" s="364">
        <f>$H48*'New vehicle sales'!D$44</f>
        <v>0.41123237891036363</v>
      </c>
      <c r="J48" s="364">
        <f>$H$48*'New vehicle sales'!E$44</f>
        <v>9.7322708989020157</v>
      </c>
      <c r="K48" s="364">
        <f>$H$48*'New vehicle sales'!F$44</f>
        <v>1.607195412721695</v>
      </c>
      <c r="L48" s="364">
        <f>$H$48*'New vehicle sales'!G$44</f>
        <v>0.71677459818789435</v>
      </c>
      <c r="M48" s="364">
        <f>$H$48*'New vehicle sales'!H$44</f>
        <v>0.61178509092550881</v>
      </c>
      <c r="N48" s="364">
        <f>$H$48*'New vehicle sales'!I$44</f>
        <v>0.29523468388961027</v>
      </c>
      <c r="O48" s="364">
        <f>$H$48*'New vehicle sales'!J$44</f>
        <v>0.93095752693534928</v>
      </c>
      <c r="P48" s="364">
        <f>$H$48*'New vehicle sales'!K$44</f>
        <v>1.4088457829022862</v>
      </c>
      <c r="Q48" s="364">
        <f>$H$48*'New vehicle sales'!L$44</f>
        <v>0.56312947889114828</v>
      </c>
      <c r="R48" s="364">
        <f>$H$48*'New vehicle sales'!M$44</f>
        <v>0.64120526726398119</v>
      </c>
      <c r="S48" s="364">
        <f>$H$48*'New vehicle sales'!N$44</f>
        <v>1.081474991836181</v>
      </c>
      <c r="T48" s="364">
        <f>$H$48*'New vehicle sales'!O$44</f>
        <v>1.0287671532057285</v>
      </c>
      <c r="U48" s="364">
        <f>$H$48*'New vehicle sales'!P$44</f>
        <v>0.8582413680354225</v>
      </c>
      <c r="V48" s="364">
        <f>$H$48*'New vehicle sales'!Q$44</f>
        <v>3.9212551653606282</v>
      </c>
      <c r="W48" s="364">
        <f>$H$48*'New vehicle sales'!R$44</f>
        <v>1.0669202029036937</v>
      </c>
      <c r="X48" s="364">
        <f>$H$48*'New vehicle sales'!S$44</f>
        <v>1.4077984159567722</v>
      </c>
      <c r="Y48" s="364">
        <f>$H$48*'New vehicle sales'!T$44</f>
        <v>1.1524864707420299</v>
      </c>
      <c r="Z48" s="364">
        <f>$H$48*'New vehicle sales'!U$44</f>
        <v>0.83916484318644002</v>
      </c>
      <c r="AA48" s="364">
        <f>$H$48*'New vehicle sales'!V$44</f>
        <v>1.8640097877617265</v>
      </c>
      <c r="AB48" s="364">
        <f>$H$48*'New vehicle sales'!W$44</f>
        <v>0.23146087173827884</v>
      </c>
      <c r="AC48" s="364">
        <f>$H$48*'New vehicle sales'!X$44</f>
        <v>0.94268081350479216</v>
      </c>
      <c r="AD48" s="364">
        <f>$H$48*'New vehicle sales'!Y$44</f>
        <v>0.46621553193969134</v>
      </c>
      <c r="AE48" s="364">
        <f>$H$48*'New vehicle sales'!Z$44</f>
        <v>0.47337374327075599</v>
      </c>
      <c r="AF48" s="364">
        <f>$H$48*'New vehicle sales'!AA$44</f>
        <v>0.55023603063085536</v>
      </c>
      <c r="AG48" s="364">
        <f>$H$48*'New vehicle sales'!AB$44</f>
        <v>1.1498788882087156</v>
      </c>
      <c r="AH48" s="364">
        <f>$H$48*'New vehicle sales'!AC$44</f>
        <v>0.44340460218842798</v>
      </c>
      <c r="AI48" t="str">
        <f t="shared" ref="AI48:AI58" si="7">AI28</f>
        <v>T-CAR-ICE_DST21</v>
      </c>
      <c r="AJ48" t="s">
        <v>221</v>
      </c>
    </row>
    <row r="49" spans="1:36">
      <c r="A49" t="str">
        <f t="shared" si="6"/>
        <v>T-CAR-ICE_GSL21</v>
      </c>
      <c r="B49" t="s">
        <v>399</v>
      </c>
      <c r="E49" t="s">
        <v>223</v>
      </c>
      <c r="F49" t="s">
        <v>222</v>
      </c>
      <c r="G49">
        <v>2021</v>
      </c>
      <c r="H49" s="384">
        <f>SUMIFS('New vehicle sales'!$G$186:$G$215,'New vehicle sales'!$C$186:$C$215,'TRA-CAPs'!G49,'New vehicle sales'!$E$186:$E$215,B49)/1000</f>
        <v>32.950000000000003</v>
      </c>
      <c r="I49" s="364">
        <f>$H49*'New vehicle sales'!D$44</f>
        <v>0.39394426343459943</v>
      </c>
      <c r="J49" s="364">
        <f>$H49*'New vehicle sales'!E$44</f>
        <v>9.3231284486225565</v>
      </c>
      <c r="K49" s="364">
        <f>$H49*'New vehicle sales'!F$44</f>
        <v>1.5396292839045196</v>
      </c>
      <c r="L49" s="364">
        <f>$H49*'New vehicle sales'!G$44</f>
        <v>0.68664155745700428</v>
      </c>
      <c r="M49" s="364">
        <f>$H49*'New vehicle sales'!H$44</f>
        <v>0.58606578514930563</v>
      </c>
      <c r="N49" s="364">
        <f>$H49*'New vehicle sales'!I$44</f>
        <v>0.28282308507276022</v>
      </c>
      <c r="O49" s="364">
        <f>$H49*'New vehicle sales'!J$44</f>
        <v>0.89182028469937669</v>
      </c>
      <c r="P49" s="364">
        <f>$H49*'New vehicle sales'!K$44</f>
        <v>1.349618227312197</v>
      </c>
      <c r="Q49" s="364">
        <f>$H49*'New vehicle sales'!L$44</f>
        <v>0.53945564395462664</v>
      </c>
      <c r="R49" s="364">
        <f>$H49*'New vehicle sales'!M$44</f>
        <v>0.6142491439803518</v>
      </c>
      <c r="S49" s="364">
        <f>$H49*'New vehicle sales'!N$44</f>
        <v>1.0360100296837471</v>
      </c>
      <c r="T49" s="364">
        <f>$H49*'New vehicle sales'!O$44</f>
        <v>0.98551801657543769</v>
      </c>
      <c r="U49" s="364">
        <f>$H49*'New vehicle sales'!P$44</f>
        <v>0.82216109654515557</v>
      </c>
      <c r="V49" s="364">
        <f>$H49*'New vehicle sales'!Q$44</f>
        <v>3.756406491994206</v>
      </c>
      <c r="W49" s="364">
        <f>$H49*'New vehicle sales'!R$44</f>
        <v>1.0220671207604579</v>
      </c>
      <c r="X49" s="364">
        <f>$H49*'New vehicle sales'!S$44</f>
        <v>1.3486148914343425</v>
      </c>
      <c r="Y49" s="364">
        <f>$H49*'New vehicle sales'!T$44</f>
        <v>1.1040362022022878</v>
      </c>
      <c r="Z49" s="364">
        <f>$H49*'New vehicle sales'!U$44</f>
        <v>0.80388654445264562</v>
      </c>
      <c r="AA49" s="364">
        <f>$H49*'New vehicle sales'!V$44</f>
        <v>1.7856472411544626</v>
      </c>
      <c r="AB49" s="364">
        <f>$H49*'New vehicle sales'!W$44</f>
        <v>0.22173030944808375</v>
      </c>
      <c r="AC49" s="364">
        <f>$H49*'New vehicle sales'!X$44</f>
        <v>0.9030507269735697</v>
      </c>
      <c r="AD49" s="364">
        <f>$H49*'New vehicle sales'!Y$44</f>
        <v>0.44661593724307569</v>
      </c>
      <c r="AE49" s="364">
        <f>$H49*'New vehicle sales'!Z$44</f>
        <v>0.45347321900137838</v>
      </c>
      <c r="AF49" s="364">
        <f>$H49*'New vehicle sales'!AA$44</f>
        <v>0.52710423332034784</v>
      </c>
      <c r="AG49" s="364">
        <f>$H49*'New vehicle sales'!AB$44</f>
        <v>1.1015382418443185</v>
      </c>
      <c r="AH49" s="364">
        <f>$H49*'New vehicle sales'!AC$44</f>
        <v>0.42476397377918079</v>
      </c>
      <c r="AI49" t="str">
        <f t="shared" si="7"/>
        <v>T-CAR-ICE_GSL21</v>
      </c>
      <c r="AJ49" t="s">
        <v>221</v>
      </c>
    </row>
    <row r="50" spans="1:36">
      <c r="A50" t="str">
        <f t="shared" si="6"/>
        <v>T-CAR-HEV_GSL21</v>
      </c>
      <c r="B50" t="s">
        <v>558</v>
      </c>
      <c r="E50" t="s">
        <v>223</v>
      </c>
      <c r="F50" t="s">
        <v>222</v>
      </c>
      <c r="G50">
        <v>2021</v>
      </c>
      <c r="H50" s="384">
        <f>SUMIFS('New vehicle sales'!$G$186:$G$215,'New vehicle sales'!$C$186:$C$215,'TRA-CAPs'!G50,'New vehicle sales'!$E$186:$E$215,B50)/1000</f>
        <v>25.661000000000001</v>
      </c>
      <c r="I50" s="364">
        <f>$H50*'New vehicle sales'!D$44</f>
        <v>0.30679829268574371</v>
      </c>
      <c r="J50" s="364">
        <f>$H50*'New vehicle sales'!E$44</f>
        <v>7.260722279821044</v>
      </c>
      <c r="K50" s="364">
        <f>$H50*'New vehicle sales'!F$44</f>
        <v>1.1990417922389642</v>
      </c>
      <c r="L50" s="364">
        <f>$H50*'New vehicle sales'!G$44</f>
        <v>0.53474685905627273</v>
      </c>
      <c r="M50" s="364">
        <f>$H50*'New vehicle sales'!H$44</f>
        <v>0.45641985167576116</v>
      </c>
      <c r="N50" s="364">
        <f>$H50*'New vehicle sales'!I$44</f>
        <v>0.22025867028989679</v>
      </c>
      <c r="O50" s="364">
        <f>$H50*'New vehicle sales'!J$44</f>
        <v>0.69453718742551462</v>
      </c>
      <c r="P50" s="364">
        <f>$H50*'New vehicle sales'!K$44</f>
        <v>1.0510638340230134</v>
      </c>
      <c r="Q50" s="364">
        <f>$H50*'New vehicle sales'!L$44</f>
        <v>0.42012052441637859</v>
      </c>
      <c r="R50" s="364">
        <f>$H50*'New vehicle sales'!M$44</f>
        <v>0.4783686580782946</v>
      </c>
      <c r="S50" s="364">
        <f>$H50*'New vehicle sales'!N$44</f>
        <v>0.80683014785173401</v>
      </c>
      <c r="T50" s="364">
        <f>$H50*'New vehicle sales'!O$44</f>
        <v>0.76750767293906852</v>
      </c>
      <c r="U50" s="364">
        <f>$H50*'New vehicle sales'!P$44</f>
        <v>0.64028758417132736</v>
      </c>
      <c r="V50" s="364">
        <f>$H50*'New vehicle sales'!Q$44</f>
        <v>2.9254369344784013</v>
      </c>
      <c r="W50" s="364">
        <f>$H50*'New vehicle sales'!R$44</f>
        <v>0.79597160503290154</v>
      </c>
      <c r="X50" s="364">
        <f>$H50*'New vehicle sales'!S$44</f>
        <v>1.0502824500484571</v>
      </c>
      <c r="Y50" s="364">
        <f>$H50*'New vehicle sales'!T$44</f>
        <v>0.8598079813266436</v>
      </c>
      <c r="Z50" s="364">
        <f>$H50*'New vehicle sales'!U$44</f>
        <v>0.62605561812441091</v>
      </c>
      <c r="AA50" s="364">
        <f>$H50*'New vehicle sales'!V$44</f>
        <v>1.3906371428001414</v>
      </c>
      <c r="AB50" s="364">
        <f>$H50*'New vehicle sales'!W$44</f>
        <v>0.1726804695219204</v>
      </c>
      <c r="AC50" s="364">
        <f>$H50*'New vehicle sales'!X$44</f>
        <v>0.70328329908554699</v>
      </c>
      <c r="AD50" s="364">
        <f>$H50*'New vehicle sales'!Y$44</f>
        <v>0.34781825692244506</v>
      </c>
      <c r="AE50" s="364">
        <f>$H50*'New vehicle sales'!Z$44</f>
        <v>0.35315861222441181</v>
      </c>
      <c r="AF50" s="364">
        <f>$H50*'New vehicle sales'!AA$44</f>
        <v>0.41050141824684205</v>
      </c>
      <c r="AG50" s="364">
        <f>$H50*'New vehicle sales'!AB$44</f>
        <v>0.85786260467274833</v>
      </c>
      <c r="AH50" s="364">
        <f>$H50*'New vehicle sales'!AC$44</f>
        <v>0.33080025284211101</v>
      </c>
      <c r="AI50" t="str">
        <f t="shared" si="7"/>
        <v>T-CAR-HEV_GSL21</v>
      </c>
      <c r="AJ50" t="s">
        <v>221</v>
      </c>
    </row>
    <row r="51" spans="1:36">
      <c r="A51" t="str">
        <f t="shared" si="6"/>
        <v>T-CAR-BEV100_ELC21</v>
      </c>
      <c r="B51" t="s">
        <v>389</v>
      </c>
      <c r="E51" t="s">
        <v>223</v>
      </c>
      <c r="F51" t="s">
        <v>222</v>
      </c>
      <c r="G51">
        <v>2021</v>
      </c>
      <c r="H51" s="384">
        <f>SUMIFS('New vehicle sales'!$G$186:$G$215,'New vehicle sales'!$C$186:$C$215,'TRA-CAPs'!G51,'New vehicle sales'!$E$186:$E$215,B51)/1000</f>
        <v>8.5540000000000003</v>
      </c>
      <c r="I51" s="364">
        <f>$H51*'New vehicle sales'!D$44</f>
        <v>0.10227008283519159</v>
      </c>
      <c r="J51" s="364">
        <f>$H51*'New vehicle sales'!E$44</f>
        <v>2.4203350758578859</v>
      </c>
      <c r="K51" s="364">
        <f>$H51*'New vehicle sales'!F$44</f>
        <v>0.39969617282304276</v>
      </c>
      <c r="L51" s="364">
        <f>$H51*'New vehicle sales'!G$44</f>
        <v>0.17825589931675917</v>
      </c>
      <c r="M51" s="364">
        <f>$H51*'New vehicle sales'!H$44</f>
        <v>0.15214587939809288</v>
      </c>
      <c r="N51" s="364">
        <f>$H51*'New vehicle sales'!I$44</f>
        <v>7.3422417897189396E-2</v>
      </c>
      <c r="O51" s="364">
        <f>$H51*'New vehicle sales'!J$44</f>
        <v>0.23152141776383819</v>
      </c>
      <c r="P51" s="364">
        <f>$H51*'New vehicle sales'!K$44</f>
        <v>0.35036826453500858</v>
      </c>
      <c r="Q51" s="364">
        <f>$H51*'New vehicle sales'!L$44</f>
        <v>0.14004563212102811</v>
      </c>
      <c r="R51" s="364">
        <f>$H51*'New vehicle sales'!M$44</f>
        <v>0.15946243331131804</v>
      </c>
      <c r="S51" s="364">
        <f>$H51*'New vehicle sales'!N$44</f>
        <v>0.2689538632447579</v>
      </c>
      <c r="T51" s="364">
        <f>$H51*'New vehicle sales'!O$44</f>
        <v>0.25584586081293759</v>
      </c>
      <c r="U51" s="364">
        <f>$H51*'New vehicle sales'!P$44</f>
        <v>0.21343751198322491</v>
      </c>
      <c r="V51" s="364">
        <f>$H51*'New vehicle sales'!Q$44</f>
        <v>0.97518364590344264</v>
      </c>
      <c r="W51" s="364">
        <f>$H51*'New vehicle sales'!R$44</f>
        <v>0.265334207920636</v>
      </c>
      <c r="X51" s="364">
        <f>$H51*'New vehicle sales'!S$44</f>
        <v>0.35010779306007178</v>
      </c>
      <c r="Y51" s="364">
        <f>$H51*'New vehicle sales'!T$44</f>
        <v>0.28661382924547402</v>
      </c>
      <c r="Z51" s="364">
        <f>$H51*'New vehicle sales'!U$44</f>
        <v>0.20869333842937574</v>
      </c>
      <c r="AA51" s="364">
        <f>$H51*'New vehicle sales'!V$44</f>
        <v>0.46356377847754998</v>
      </c>
      <c r="AB51" s="364">
        <f>$H51*'New vehicle sales'!W$44</f>
        <v>5.7562399606036672E-2</v>
      </c>
      <c r="AC51" s="364">
        <f>$H51*'New vehicle sales'!X$44</f>
        <v>0.23443690192813096</v>
      </c>
      <c r="AD51" s="364">
        <f>$H51*'New vehicle sales'!Y$44</f>
        <v>0.11594393709187463</v>
      </c>
      <c r="AE51" s="364">
        <f>$H51*'New vehicle sales'!Z$44</f>
        <v>0.11772412489644279</v>
      </c>
      <c r="AF51" s="364">
        <f>$H51*'New vehicle sales'!AA$44</f>
        <v>0.13683913844680592</v>
      </c>
      <c r="AG51" s="364">
        <f>$H51*'New vehicle sales'!AB$44</f>
        <v>0.28596534509063126</v>
      </c>
      <c r="AH51" s="364">
        <f>$H51*'New vehicle sales'!AC$44</f>
        <v>0.11027104800325074</v>
      </c>
      <c r="AI51" t="str">
        <f t="shared" si="7"/>
        <v>T-CAR-BEV100_ELC21</v>
      </c>
      <c r="AJ51" t="s">
        <v>221</v>
      </c>
    </row>
    <row r="52" spans="1:36">
      <c r="A52" t="str">
        <f t="shared" si="6"/>
        <v>T-CAR-PHEV40_GSL21</v>
      </c>
      <c r="E52" t="s">
        <v>223</v>
      </c>
      <c r="F52" t="s">
        <v>222</v>
      </c>
      <c r="G52">
        <v>2021</v>
      </c>
      <c r="H52" s="384">
        <f>SUMIFS('New vehicle sales'!$G$186:$G$215,'New vehicle sales'!$C$186:$C$215,'TRA-CAPs'!G52,'New vehicle sales'!$E$186:$E$215,B52)/1000</f>
        <v>0</v>
      </c>
      <c r="I52" s="364">
        <f>$H52*'New vehicle sales'!D$44</f>
        <v>0</v>
      </c>
      <c r="J52" s="364">
        <f>$H52*'New vehicle sales'!E$44</f>
        <v>0</v>
      </c>
      <c r="K52" s="364">
        <f>$H52*'New vehicle sales'!F$44</f>
        <v>0</v>
      </c>
      <c r="L52" s="364">
        <f>$H52*'New vehicle sales'!G$44</f>
        <v>0</v>
      </c>
      <c r="M52" s="364">
        <f>$H52*'New vehicle sales'!H$44</f>
        <v>0</v>
      </c>
      <c r="N52" s="364">
        <f>$H52*'New vehicle sales'!I$44</f>
        <v>0</v>
      </c>
      <c r="O52" s="364">
        <f>$H52*'New vehicle sales'!J$44</f>
        <v>0</v>
      </c>
      <c r="P52" s="364">
        <f>$H52*'New vehicle sales'!K$44</f>
        <v>0</v>
      </c>
      <c r="Q52" s="364">
        <f>$H52*'New vehicle sales'!L$44</f>
        <v>0</v>
      </c>
      <c r="R52" s="364">
        <f>$H52*'New vehicle sales'!M$44</f>
        <v>0</v>
      </c>
      <c r="S52" s="364">
        <f>$H52*'New vehicle sales'!N$44</f>
        <v>0</v>
      </c>
      <c r="T52" s="364">
        <f>$H52*'New vehicle sales'!O$44</f>
        <v>0</v>
      </c>
      <c r="U52" s="364">
        <f>$H52*'New vehicle sales'!P$44</f>
        <v>0</v>
      </c>
      <c r="V52" s="364">
        <f>$H52*'New vehicle sales'!Q$44</f>
        <v>0</v>
      </c>
      <c r="W52" s="364">
        <f>$H52*'New vehicle sales'!R$44</f>
        <v>0</v>
      </c>
      <c r="X52" s="364">
        <f>$H52*'New vehicle sales'!S$44</f>
        <v>0</v>
      </c>
      <c r="Y52" s="364">
        <f>$H52*'New vehicle sales'!T$44</f>
        <v>0</v>
      </c>
      <c r="Z52" s="364">
        <f>$H52*'New vehicle sales'!U$44</f>
        <v>0</v>
      </c>
      <c r="AA52" s="364">
        <f>$H52*'New vehicle sales'!V$44</f>
        <v>0</v>
      </c>
      <c r="AB52" s="364">
        <f>$H52*'New vehicle sales'!W$44</f>
        <v>0</v>
      </c>
      <c r="AC52" s="364">
        <f>$H52*'New vehicle sales'!X$44</f>
        <v>0</v>
      </c>
      <c r="AD52" s="364">
        <f>$H52*'New vehicle sales'!Y$44</f>
        <v>0</v>
      </c>
      <c r="AE52" s="364">
        <f>$H52*'New vehicle sales'!Z$44</f>
        <v>0</v>
      </c>
      <c r="AF52" s="364">
        <f>$H52*'New vehicle sales'!AA$44</f>
        <v>0</v>
      </c>
      <c r="AG52" s="364">
        <f>$H52*'New vehicle sales'!AB$44</f>
        <v>0</v>
      </c>
      <c r="AH52" s="364">
        <f>$H52*'New vehicle sales'!AC$44</f>
        <v>0</v>
      </c>
      <c r="AI52" t="str">
        <f t="shared" si="7"/>
        <v>T-CAR-PHEV40_GSL21</v>
      </c>
      <c r="AJ52" t="s">
        <v>221</v>
      </c>
    </row>
    <row r="53" spans="1:36">
      <c r="A53" t="str">
        <f t="shared" si="6"/>
        <v>T-CAR-HEV_DST21</v>
      </c>
      <c r="E53" t="s">
        <v>223</v>
      </c>
      <c r="F53" t="s">
        <v>222</v>
      </c>
      <c r="G53">
        <v>2021</v>
      </c>
      <c r="H53" s="384">
        <f>SUMIFS('New vehicle sales'!$G$186:$G$215,'New vehicle sales'!$C$186:$C$215,'TRA-CAPs'!G53,'New vehicle sales'!$E$186:$E$215,B53)/1000</f>
        <v>0</v>
      </c>
      <c r="I53" s="364">
        <f>$H53*'New vehicle sales'!D$44</f>
        <v>0</v>
      </c>
      <c r="J53" s="364">
        <f>$H53*'New vehicle sales'!E$44</f>
        <v>0</v>
      </c>
      <c r="K53" s="364">
        <f>$H53*'New vehicle sales'!F$44</f>
        <v>0</v>
      </c>
      <c r="L53" s="364">
        <f>$H53*'New vehicle sales'!G$44</f>
        <v>0</v>
      </c>
      <c r="M53" s="364">
        <f>$H53*'New vehicle sales'!H$44</f>
        <v>0</v>
      </c>
      <c r="N53" s="364">
        <f>$H53*'New vehicle sales'!I$44</f>
        <v>0</v>
      </c>
      <c r="O53" s="364">
        <f>$H53*'New vehicle sales'!J$44</f>
        <v>0</v>
      </c>
      <c r="P53" s="364">
        <f>$H53*'New vehicle sales'!K$44</f>
        <v>0</v>
      </c>
      <c r="Q53" s="364">
        <f>$H53*'New vehicle sales'!L$44</f>
        <v>0</v>
      </c>
      <c r="R53" s="364">
        <f>$H53*'New vehicle sales'!M$44</f>
        <v>0</v>
      </c>
      <c r="S53" s="364">
        <f>$H53*'New vehicle sales'!N$44</f>
        <v>0</v>
      </c>
      <c r="T53" s="364">
        <f>$H53*'New vehicle sales'!O$44</f>
        <v>0</v>
      </c>
      <c r="U53" s="364">
        <f>$H53*'New vehicle sales'!P$44</f>
        <v>0</v>
      </c>
      <c r="V53" s="364">
        <f>$H53*'New vehicle sales'!Q$44</f>
        <v>0</v>
      </c>
      <c r="W53" s="364">
        <f>$H53*'New vehicle sales'!R$44</f>
        <v>0</v>
      </c>
      <c r="X53" s="364">
        <f>$H53*'New vehicle sales'!S$44</f>
        <v>0</v>
      </c>
      <c r="Y53" s="364">
        <f>$H53*'New vehicle sales'!T$44</f>
        <v>0</v>
      </c>
      <c r="Z53" s="364">
        <f>$H53*'New vehicle sales'!U$44</f>
        <v>0</v>
      </c>
      <c r="AA53" s="364">
        <f>$H53*'New vehicle sales'!V$44</f>
        <v>0</v>
      </c>
      <c r="AB53" s="364">
        <f>$H53*'New vehicle sales'!W$44</f>
        <v>0</v>
      </c>
      <c r="AC53" s="364">
        <f>$H53*'New vehicle sales'!X$44</f>
        <v>0</v>
      </c>
      <c r="AD53" s="364">
        <f>$H53*'New vehicle sales'!Y$44</f>
        <v>0</v>
      </c>
      <c r="AE53" s="364">
        <f>$H53*'New vehicle sales'!Z$44</f>
        <v>0</v>
      </c>
      <c r="AF53" s="364">
        <f>$H53*'New vehicle sales'!AA$44</f>
        <v>0</v>
      </c>
      <c r="AG53" s="364">
        <f>$H53*'New vehicle sales'!AB$44</f>
        <v>0</v>
      </c>
      <c r="AH53" s="364">
        <f>$H53*'New vehicle sales'!AC$44</f>
        <v>0</v>
      </c>
      <c r="AI53" t="str">
        <f t="shared" si="7"/>
        <v>T-CAR-HEV_DST21</v>
      </c>
      <c r="AJ53" t="s">
        <v>221</v>
      </c>
    </row>
    <row r="54" spans="1:36">
      <c r="A54" t="str">
        <f t="shared" si="6"/>
        <v>T-CAR-PHEV40_DST21</v>
      </c>
      <c r="E54" t="s">
        <v>223</v>
      </c>
      <c r="F54" t="s">
        <v>222</v>
      </c>
      <c r="G54">
        <v>2021</v>
      </c>
      <c r="H54" s="384">
        <f>SUMIFS('New vehicle sales'!$G$186:$G$215,'New vehicle sales'!$C$186:$C$215,'TRA-CAPs'!G54,'New vehicle sales'!$E$186:$E$215,B54)/1000</f>
        <v>0</v>
      </c>
      <c r="I54" s="364">
        <f>$H54*'New vehicle sales'!D$44</f>
        <v>0</v>
      </c>
      <c r="J54" s="364">
        <f>$H54*'New vehicle sales'!E$44</f>
        <v>0</v>
      </c>
      <c r="K54" s="364">
        <f>$H54*'New vehicle sales'!F$44</f>
        <v>0</v>
      </c>
      <c r="L54" s="364">
        <f>$H54*'New vehicle sales'!G$44</f>
        <v>0</v>
      </c>
      <c r="M54" s="364">
        <f>$H54*'New vehicle sales'!H$44</f>
        <v>0</v>
      </c>
      <c r="N54" s="364">
        <f>$H54*'New vehicle sales'!I$44</f>
        <v>0</v>
      </c>
      <c r="O54" s="364">
        <f>$H54*'New vehicle sales'!J$44</f>
        <v>0</v>
      </c>
      <c r="P54" s="364">
        <f>$H54*'New vehicle sales'!K$44</f>
        <v>0</v>
      </c>
      <c r="Q54" s="364">
        <f>$H54*'New vehicle sales'!L$44</f>
        <v>0</v>
      </c>
      <c r="R54" s="364">
        <f>$H54*'New vehicle sales'!M$44</f>
        <v>0</v>
      </c>
      <c r="S54" s="364">
        <f>$H54*'New vehicle sales'!N$44</f>
        <v>0</v>
      </c>
      <c r="T54" s="364">
        <f>$H54*'New vehicle sales'!O$44</f>
        <v>0</v>
      </c>
      <c r="U54" s="364">
        <f>$H54*'New vehicle sales'!P$44</f>
        <v>0</v>
      </c>
      <c r="V54" s="364">
        <f>$H54*'New vehicle sales'!Q$44</f>
        <v>0</v>
      </c>
      <c r="W54" s="364">
        <f>$H54*'New vehicle sales'!R$44</f>
        <v>0</v>
      </c>
      <c r="X54" s="364">
        <f>$H54*'New vehicle sales'!S$44</f>
        <v>0</v>
      </c>
      <c r="Y54" s="364">
        <f>$H54*'New vehicle sales'!T$44</f>
        <v>0</v>
      </c>
      <c r="Z54" s="364">
        <f>$H54*'New vehicle sales'!U$44</f>
        <v>0</v>
      </c>
      <c r="AA54" s="364">
        <f>$H54*'New vehicle sales'!V$44</f>
        <v>0</v>
      </c>
      <c r="AB54" s="364">
        <f>$H54*'New vehicle sales'!W$44</f>
        <v>0</v>
      </c>
      <c r="AC54" s="364">
        <f>$H54*'New vehicle sales'!X$44</f>
        <v>0</v>
      </c>
      <c r="AD54" s="364">
        <f>$H54*'New vehicle sales'!Y$44</f>
        <v>0</v>
      </c>
      <c r="AE54" s="364">
        <f>$H54*'New vehicle sales'!Z$44</f>
        <v>0</v>
      </c>
      <c r="AF54" s="364">
        <f>$H54*'New vehicle sales'!AA$44</f>
        <v>0</v>
      </c>
      <c r="AG54" s="364">
        <f>$H54*'New vehicle sales'!AB$44</f>
        <v>0</v>
      </c>
      <c r="AH54" s="364">
        <f>$H54*'New vehicle sales'!AC$44</f>
        <v>0</v>
      </c>
      <c r="AI54" t="str">
        <f t="shared" si="7"/>
        <v>T-CAR-PHEV40_DST21</v>
      </c>
      <c r="AJ54" t="s">
        <v>221</v>
      </c>
    </row>
    <row r="55" spans="1:36">
      <c r="A55" t="str">
        <f t="shared" si="6"/>
        <v>T-LGT-ICE_DST61</v>
      </c>
      <c r="E55" t="s">
        <v>223</v>
      </c>
      <c r="F55" t="s">
        <v>222</v>
      </c>
      <c r="G55">
        <v>2021</v>
      </c>
      <c r="H55" s="384">
        <f>'New vehicle sales'!E19/1000</f>
        <v>25.370191214288234</v>
      </c>
      <c r="I55" s="364">
        <f>$H55*'New vehicle sales'!D$44</f>
        <v>0.30332143523847416</v>
      </c>
      <c r="J55" s="364">
        <f>$H55*'New vehicle sales'!E$44</f>
        <v>7.1784385874635701</v>
      </c>
      <c r="K55" s="364">
        <f>$H55*'New vehicle sales'!F$44</f>
        <v>1.1854533939840766</v>
      </c>
      <c r="L55" s="364">
        <f>$H55*'New vehicle sales'!G$44</f>
        <v>0.52868672559517083</v>
      </c>
      <c r="M55" s="364">
        <f>$H55*'New vehicle sales'!H$44</f>
        <v>0.45124737582366758</v>
      </c>
      <c r="N55" s="364">
        <f>$H55*'New vehicle sales'!I$44</f>
        <v>0.21776254167255946</v>
      </c>
      <c r="O55" s="364">
        <f>$H55*'New vehicle sales'!J$44</f>
        <v>0.68666619579982269</v>
      </c>
      <c r="P55" s="364">
        <f>$H55*'New vehicle sales'!K$44</f>
        <v>1.0391524277146937</v>
      </c>
      <c r="Q55" s="364">
        <f>$H55*'New vehicle sales'!L$44</f>
        <v>0.41535941847514019</v>
      </c>
      <c r="R55" s="364">
        <f>$H55*'New vehicle sales'!M$44</f>
        <v>0.47294744267054289</v>
      </c>
      <c r="S55" s="364">
        <f>$H55*'New vehicle sales'!N$44</f>
        <v>0.79768657216986627</v>
      </c>
      <c r="T55" s="364">
        <f>$H55*'New vehicle sales'!O$44</f>
        <v>0.75880972763717558</v>
      </c>
      <c r="U55" s="364">
        <f>$H55*'New vehicle sales'!P$44</f>
        <v>0.63303138780878554</v>
      </c>
      <c r="V55" s="364">
        <f>$H55*'New vehicle sales'!Q$44</f>
        <v>2.8922837930344971</v>
      </c>
      <c r="W55" s="364">
        <f>$H55*'New vehicle sales'!R$44</f>
        <v>0.78695108611623177</v>
      </c>
      <c r="X55" s="364">
        <f>$H55*'New vehicle sales'!S$44</f>
        <v>1.0383798989416035</v>
      </c>
      <c r="Y55" s="364">
        <f>$H55*'New vehicle sales'!T$44</f>
        <v>0.85006402298539085</v>
      </c>
      <c r="Z55" s="364">
        <f>$H55*'New vehicle sales'!U$44</f>
        <v>0.61896070856925756</v>
      </c>
      <c r="AA55" s="364">
        <f>$H55*'New vehicle sales'!V$44</f>
        <v>1.374877449145826</v>
      </c>
      <c r="AB55" s="364">
        <f>$H55*'New vehicle sales'!W$44</f>
        <v>0.17072353106832125</v>
      </c>
      <c r="AC55" s="364">
        <f>$H55*'New vehicle sales'!X$44</f>
        <v>0.69531319027379235</v>
      </c>
      <c r="AD55" s="364">
        <f>$H55*'New vehicle sales'!Y$44</f>
        <v>0.34387653193339551</v>
      </c>
      <c r="AE55" s="364">
        <f>$H55*'New vehicle sales'!Z$44</f>
        <v>0.34915636651361981</v>
      </c>
      <c r="AF55" s="364">
        <f>$H55*'New vehicle sales'!AA$44</f>
        <v>0.40584932288916609</v>
      </c>
      <c r="AG55" s="364">
        <f>$H55*'New vehicle sales'!AB$44</f>
        <v>0.84814069272962778</v>
      </c>
      <c r="AH55" s="364">
        <f>$H55*'New vehicle sales'!AC$44</f>
        <v>0.32705138803395234</v>
      </c>
      <c r="AI55" t="str">
        <f t="shared" si="7"/>
        <v>T-LGT-ICE_DST61</v>
      </c>
      <c r="AJ55" t="s">
        <v>221</v>
      </c>
    </row>
    <row r="56" spans="1:36">
      <c r="A56" t="str">
        <f t="shared" si="6"/>
        <v>T-LGT-HEV_DST61</v>
      </c>
      <c r="E56" t="s">
        <v>223</v>
      </c>
      <c r="F56" t="s">
        <v>222</v>
      </c>
      <c r="G56">
        <v>2021</v>
      </c>
      <c r="H56" s="384">
        <f>'New vehicle sales'!E20/1000</f>
        <v>0.184</v>
      </c>
      <c r="I56" s="364">
        <f>$H56*'New vehicle sales'!D$44</f>
        <v>2.1998708489215867E-3</v>
      </c>
      <c r="J56" s="364">
        <f>$H56*'New vehicle sales'!E$44</f>
        <v>5.2062386480927168E-2</v>
      </c>
      <c r="K56" s="364">
        <f>$H56*'New vehicle sales'!F$44</f>
        <v>8.5976263501800175E-3</v>
      </c>
      <c r="L56" s="364">
        <f>$H56*'New vehicle sales'!G$44</f>
        <v>3.834356496876746E-3</v>
      </c>
      <c r="M56" s="364">
        <f>$H56*'New vehicle sales'!H$44</f>
        <v>3.2727194072070475E-3</v>
      </c>
      <c r="N56" s="364">
        <f>$H56*'New vehicle sales'!I$44</f>
        <v>1.5793459075383268E-3</v>
      </c>
      <c r="O56" s="364">
        <f>$H56*'New vehicle sales'!J$44</f>
        <v>4.9801193439965186E-3</v>
      </c>
      <c r="P56" s="364">
        <f>$H56*'New vehicle sales'!K$44</f>
        <v>7.5365630903017978E-3</v>
      </c>
      <c r="Q56" s="364">
        <f>$H56*'New vehicle sales'!L$44</f>
        <v>3.0124381938589164E-3</v>
      </c>
      <c r="R56" s="364">
        <f>$H56*'New vehicle sales'!M$44</f>
        <v>3.4301014413470323E-3</v>
      </c>
      <c r="S56" s="364">
        <f>$H56*'New vehicle sales'!N$44</f>
        <v>5.78530638730833E-3</v>
      </c>
      <c r="T56" s="364">
        <f>$H56*'New vehicle sales'!O$44</f>
        <v>5.5033479529554025E-3</v>
      </c>
      <c r="U56" s="364">
        <f>$H56*'New vehicle sales'!P$44</f>
        <v>4.5911272159122494E-3</v>
      </c>
      <c r="V56" s="364">
        <f>$H56*'New vehicle sales'!Q$44</f>
        <v>2.0976594674565519E-2</v>
      </c>
      <c r="W56" s="364">
        <f>$H56*'New vehicle sales'!R$44</f>
        <v>5.7074461371752422E-3</v>
      </c>
      <c r="X56" s="364">
        <f>$H56*'New vehicle sales'!S$44</f>
        <v>7.5309602435180275E-3</v>
      </c>
      <c r="Y56" s="364">
        <f>$H56*'New vehicle sales'!T$44</f>
        <v>6.16517939924798E-3</v>
      </c>
      <c r="Z56" s="364">
        <f>$H56*'New vehicle sales'!U$44</f>
        <v>4.48907812380233E-3</v>
      </c>
      <c r="AA56" s="364">
        <f>$H56*'New vehicle sales'!V$44</f>
        <v>9.9714443815605795E-3</v>
      </c>
      <c r="AB56" s="364">
        <f>$H56*'New vehicle sales'!W$44</f>
        <v>1.2381904988906648E-3</v>
      </c>
      <c r="AC56" s="364">
        <f>$H56*'New vehicle sales'!X$44</f>
        <v>5.0428325876521038E-3</v>
      </c>
      <c r="AD56" s="364">
        <f>$H56*'New vehicle sales'!Y$44</f>
        <v>2.4940009849082219E-3</v>
      </c>
      <c r="AE56" s="364">
        <f>$H56*'New vehicle sales'!Z$44</f>
        <v>2.5322935446510961E-3</v>
      </c>
      <c r="AF56" s="364">
        <f>$H56*'New vehicle sales'!AA$44</f>
        <v>2.9434652179345672E-3</v>
      </c>
      <c r="AG56" s="364">
        <f>$H56*'New vehicle sales'!AB$44</f>
        <v>6.1512302427725223E-3</v>
      </c>
      <c r="AH56" s="364">
        <f>$H56*'New vehicle sales'!AC$44</f>
        <v>2.3719748459899623E-3</v>
      </c>
      <c r="AI56" t="str">
        <f t="shared" si="7"/>
        <v>T-LGT-HEV_DST61</v>
      </c>
      <c r="AJ56" t="s">
        <v>221</v>
      </c>
    </row>
    <row r="57" spans="1:36">
      <c r="A57" t="str">
        <f t="shared" si="6"/>
        <v>T-LGT-BEV_ELC61</v>
      </c>
      <c r="E57" t="s">
        <v>223</v>
      </c>
      <c r="F57" t="s">
        <v>222</v>
      </c>
      <c r="G57">
        <v>2021</v>
      </c>
      <c r="H57" s="384">
        <f>'New vehicle sales'!E21/1000</f>
        <v>0.89400000000000002</v>
      </c>
      <c r="I57" s="364">
        <f>$H57*'New vehicle sales'!D$44</f>
        <v>1.0688502928999449E-2</v>
      </c>
      <c r="J57" s="364">
        <f>$H57*'New vehicle sales'!E$44</f>
        <v>0.25295529083667873</v>
      </c>
      <c r="K57" s="364">
        <f>$H57*'New vehicle sales'!F$44</f>
        <v>4.1773249766635517E-2</v>
      </c>
      <c r="L57" s="364">
        <f>$H57*'New vehicle sales'!G$44</f>
        <v>1.8629971240259842E-2</v>
      </c>
      <c r="M57" s="364">
        <f>$H57*'New vehicle sales'!H$44</f>
        <v>1.5901147554582069E-2</v>
      </c>
      <c r="N57" s="364">
        <f>$H57*'New vehicle sales'!I$44</f>
        <v>7.6735610942351325E-3</v>
      </c>
      <c r="O57" s="364">
        <f>$H57*'New vehicle sales'!J$44</f>
        <v>2.4196884203983089E-2</v>
      </c>
      <c r="P57" s="364">
        <f>$H57*'New vehicle sales'!K$44</f>
        <v>3.6617866319183734E-2</v>
      </c>
      <c r="Q57" s="364">
        <f>$H57*'New vehicle sales'!L$44</f>
        <v>1.4636520354944954E-2</v>
      </c>
      <c r="R57" s="364">
        <f>$H57*'New vehicle sales'!M$44</f>
        <v>1.66658189595883E-2</v>
      </c>
      <c r="S57" s="364">
        <f>$H57*'New vehicle sales'!N$44</f>
        <v>2.810904299050895E-2</v>
      </c>
      <c r="T57" s="364">
        <f>$H57*'New vehicle sales'!O$44</f>
        <v>2.6739092771424621E-2</v>
      </c>
      <c r="U57" s="364">
        <f>$H57*'New vehicle sales'!P$44</f>
        <v>2.2306889842530167E-2</v>
      </c>
      <c r="V57" s="364">
        <f>$H57*'New vehicle sales'!Q$44</f>
        <v>0.10191888934272594</v>
      </c>
      <c r="W57" s="364">
        <f>$H57*'New vehicle sales'!R$44</f>
        <v>2.7730743731710143E-2</v>
      </c>
      <c r="X57" s="364">
        <f>$H57*'New vehicle sales'!S$44</f>
        <v>3.6590643791875634E-2</v>
      </c>
      <c r="Y57" s="364">
        <f>$H57*'New vehicle sales'!T$44</f>
        <v>2.9954730341998338E-2</v>
      </c>
      <c r="Z57" s="364">
        <f>$H57*'New vehicle sales'!U$44</f>
        <v>2.181106436238741E-2</v>
      </c>
      <c r="AA57" s="364">
        <f>$H57*'New vehicle sales'!V$44</f>
        <v>4.8448213462582379E-2</v>
      </c>
      <c r="AB57" s="364">
        <f>$H57*'New vehicle sales'!W$44</f>
        <v>6.0159907935231219E-3</v>
      </c>
      <c r="AC57" s="364">
        <f>$H57*'New vehicle sales'!X$44</f>
        <v>2.4501588768266198E-2</v>
      </c>
      <c r="AD57" s="364">
        <f>$H57*'New vehicle sales'!Y$44</f>
        <v>1.2117591741891035E-2</v>
      </c>
      <c r="AE57" s="364">
        <f>$H57*'New vehicle sales'!Z$44</f>
        <v>1.2303643635424346E-2</v>
      </c>
      <c r="AF57" s="364">
        <f>$H57*'New vehicle sales'!AA$44</f>
        <v>1.4301401656703823E-2</v>
      </c>
      <c r="AG57" s="364">
        <f>$H57*'New vehicle sales'!AB$44</f>
        <v>2.9886955636079536E-2</v>
      </c>
      <c r="AH57" s="364">
        <f>$H57*'New vehicle sales'!AC$44</f>
        <v>1.1524703871277317E-2</v>
      </c>
      <c r="AI57" t="str">
        <f t="shared" si="7"/>
        <v>T-LGT-BEV_ELC61</v>
      </c>
      <c r="AJ57" t="s">
        <v>221</v>
      </c>
    </row>
    <row r="58" spans="1:36">
      <c r="A58" t="str">
        <f t="shared" si="6"/>
        <v>T-HGT-ICE_DST81</v>
      </c>
      <c r="D58" s="30"/>
      <c r="E58" s="30" t="s">
        <v>223</v>
      </c>
      <c r="F58" s="30" t="s">
        <v>222</v>
      </c>
      <c r="G58" s="30">
        <v>2021</v>
      </c>
      <c r="H58" s="385">
        <f>'New vehicle sales'!E34/1000</f>
        <v>1.744</v>
      </c>
      <c r="I58" s="365">
        <f>$H58*'New vehicle sales'!D$44</f>
        <v>2.0850949785430693E-2</v>
      </c>
      <c r="J58" s="365">
        <f>$H58*'New vehicle sales'!E$44</f>
        <v>0.49346088055835319</v>
      </c>
      <c r="K58" s="365">
        <f>$H58*'New vehicle sales'!F$44</f>
        <v>8.1490545406054077E-2</v>
      </c>
      <c r="L58" s="365">
        <f>$H58*'New vehicle sales'!G$44</f>
        <v>3.6343031144310027E-2</v>
      </c>
      <c r="M58" s="365">
        <f>$H58*'New vehicle sales'!H$44</f>
        <v>3.1019688294397236E-2</v>
      </c>
      <c r="N58" s="365">
        <f>$H58*'New vehicle sales'!I$44</f>
        <v>1.496945251492849E-2</v>
      </c>
      <c r="O58" s="365">
        <f>$H58*'New vehicle sales'!J$44</f>
        <v>4.7202870303967005E-2</v>
      </c>
      <c r="P58" s="365">
        <f>$H58*'New vehicle sales'!K$44</f>
        <v>7.1433511029817043E-2</v>
      </c>
      <c r="Q58" s="365">
        <f>$H58*'New vehicle sales'!L$44</f>
        <v>2.8552675054836687E-2</v>
      </c>
      <c r="R58" s="365">
        <f>$H58*'New vehicle sales'!M$44</f>
        <v>3.2511396270158831E-2</v>
      </c>
      <c r="S58" s="365">
        <f>$H58*'New vehicle sales'!N$44</f>
        <v>5.4834643149270258E-2</v>
      </c>
      <c r="T58" s="365">
        <f>$H58*'New vehicle sales'!O$44</f>
        <v>5.216216755409904E-2</v>
      </c>
      <c r="U58" s="365">
        <f>$H58*'New vehicle sales'!P$44</f>
        <v>4.351590143777697E-2</v>
      </c>
      <c r="V58" s="365">
        <f>$H58*'New vehicle sales'!Q$44</f>
        <v>0.19882163648066448</v>
      </c>
      <c r="W58" s="365">
        <f>$H58*'New vehicle sales'!R$44</f>
        <v>5.4096663387139247E-2</v>
      </c>
      <c r="X58" s="365">
        <f>$H58*'New vehicle sales'!S$44</f>
        <v>7.1380405786388268E-2</v>
      </c>
      <c r="Y58" s="365">
        <f>$H58*'New vehicle sales'!T$44</f>
        <v>5.8435178653741725E-2</v>
      </c>
      <c r="Z58" s="365">
        <f>$H58*'New vehicle sales'!U$44</f>
        <v>4.254865352125687E-2</v>
      </c>
      <c r="AA58" s="365">
        <f>$H58*'New vehicle sales'!V$44</f>
        <v>9.4511951094791574E-2</v>
      </c>
      <c r="AB58" s="365">
        <f>$H58*'New vehicle sales'!W$44</f>
        <v>1.1735892554702823E-2</v>
      </c>
      <c r="AC58" s="365">
        <f>$H58*'New vehicle sales'!X$44</f>
        <v>4.779728278731124E-2</v>
      </c>
      <c r="AD58" s="365">
        <f>$H58*'New vehicle sales'!Y$44</f>
        <v>2.3638791943912715E-2</v>
      </c>
      <c r="AE58" s="365">
        <f>$H58*'New vehicle sales'!Z$44</f>
        <v>2.4001738814519082E-2</v>
      </c>
      <c r="AF58" s="365">
        <f>$H58*'New vehicle sales'!AA$44</f>
        <v>2.7898931196075467E-2</v>
      </c>
      <c r="AG58" s="365">
        <f>$H58*'New vehicle sales'!AB$44</f>
        <v>5.8302964909756949E-2</v>
      </c>
      <c r="AH58" s="365">
        <f>$H58*'New vehicle sales'!AC$44</f>
        <v>2.2482196366339642E-2</v>
      </c>
      <c r="AI58" s="30" t="str">
        <f t="shared" si="7"/>
        <v>T-HGT-ICE_DST81</v>
      </c>
      <c r="AJ58" s="30" t="s">
        <v>221</v>
      </c>
    </row>
    <row r="66" spans="1:36" ht="21">
      <c r="C66" s="39" t="s">
        <v>564</v>
      </c>
    </row>
    <row r="67" spans="1:36" ht="21">
      <c r="C67" s="39"/>
    </row>
    <row r="68" spans="1:36">
      <c r="C68" t="s">
        <v>230</v>
      </c>
    </row>
    <row r="69" spans="1:36">
      <c r="D69" s="38" t="s">
        <v>229</v>
      </c>
      <c r="I69" s="37"/>
      <c r="J69" s="36"/>
      <c r="K69" s="36"/>
      <c r="L69" s="36"/>
      <c r="M69" s="36"/>
      <c r="O69" s="36"/>
      <c r="P69" s="36"/>
    </row>
    <row r="70" spans="1:36" ht="15" thickBot="1">
      <c r="D70" s="35" t="s">
        <v>228</v>
      </c>
      <c r="E70" s="35" t="s">
        <v>227</v>
      </c>
      <c r="F70" s="35" t="s">
        <v>198</v>
      </c>
      <c r="G70" s="35" t="s">
        <v>226</v>
      </c>
      <c r="H70" s="34" t="str">
        <f>Regions!C$3</f>
        <v>IE</v>
      </c>
      <c r="I70" s="34" t="str">
        <f>Regions!E$3</f>
        <v>IE-CW</v>
      </c>
      <c r="J70" s="34" t="str">
        <f>Regions!F$3</f>
        <v>IE-D</v>
      </c>
      <c r="K70" s="34" t="str">
        <f>Regions!G$3</f>
        <v>IE-KE</v>
      </c>
      <c r="L70" s="34" t="str">
        <f>Regions!H$3</f>
        <v>IE-KK</v>
      </c>
      <c r="M70" s="34" t="str">
        <f>Regions!I$3</f>
        <v>IE-LS</v>
      </c>
      <c r="N70" s="34" t="str">
        <f>Regions!J$3</f>
        <v>IE-LD</v>
      </c>
      <c r="O70" s="34" t="str">
        <f>Regions!K$3</f>
        <v>IE-LH</v>
      </c>
      <c r="P70" s="34" t="str">
        <f>Regions!L$3</f>
        <v>IE-MH</v>
      </c>
      <c r="Q70" s="34" t="str">
        <f>Regions!M$3</f>
        <v>IE-OY</v>
      </c>
      <c r="R70" s="34" t="str">
        <f>Regions!N$3</f>
        <v>IE-WH</v>
      </c>
      <c r="S70" s="34" t="str">
        <f>Regions!O$3</f>
        <v>IE-WX</v>
      </c>
      <c r="T70" s="34" t="str">
        <f>Regions!P$3</f>
        <v>IE-WW</v>
      </c>
      <c r="U70" s="34" t="str">
        <f>Regions!Q$3</f>
        <v>IE-CE</v>
      </c>
      <c r="V70" s="34" t="str">
        <f>Regions!R$3</f>
        <v>IE-CO</v>
      </c>
      <c r="W70" s="34" t="str">
        <f>Regions!S$3</f>
        <v>IE-KY</v>
      </c>
      <c r="X70" s="34" t="str">
        <f>Regions!T$3</f>
        <v>IE-LK</v>
      </c>
      <c r="Y70" s="34" t="str">
        <f>Regions!U$3</f>
        <v>IE-TA</v>
      </c>
      <c r="Z70" s="34" t="str">
        <f>Regions!V$3</f>
        <v>IE-WD</v>
      </c>
      <c r="AA70" s="34" t="str">
        <f>Regions!W$3</f>
        <v>IE-G</v>
      </c>
      <c r="AB70" s="34" t="str">
        <f>Regions!X$3</f>
        <v>IE-LM</v>
      </c>
      <c r="AC70" s="34" t="str">
        <f>Regions!Y$3</f>
        <v>IE-MO</v>
      </c>
      <c r="AD70" s="34" t="str">
        <f>Regions!Z$3</f>
        <v>IE-RN</v>
      </c>
      <c r="AE70" s="34" t="str">
        <f>Regions!AA$3</f>
        <v>IE-SO</v>
      </c>
      <c r="AF70" s="34" t="str">
        <f>Regions!AB$3</f>
        <v>IE-CN</v>
      </c>
      <c r="AG70" s="34" t="str">
        <f>Regions!AC$3</f>
        <v>IE-DL</v>
      </c>
      <c r="AH70" s="34" t="str">
        <f>Regions!AD$3</f>
        <v>IE-MN</v>
      </c>
      <c r="AI70" s="33" t="s">
        <v>225</v>
      </c>
      <c r="AJ70" s="33" t="s">
        <v>224</v>
      </c>
    </row>
    <row r="71" spans="1:36">
      <c r="A71" t="str">
        <f>AI71</f>
        <v>T-CAR*, T-LGT*, T-HGT*</v>
      </c>
      <c r="E71" t="s">
        <v>223</v>
      </c>
      <c r="F71" t="str">
        <f>F30</f>
        <v>NCAP_BND</v>
      </c>
      <c r="G71">
        <v>2022</v>
      </c>
      <c r="H71" s="32">
        <v>0</v>
      </c>
      <c r="I71" s="32">
        <f>H71</f>
        <v>0</v>
      </c>
      <c r="J71" s="32">
        <f t="shared" ref="J71:AH71" si="8">I71</f>
        <v>0</v>
      </c>
      <c r="K71" s="32">
        <f t="shared" si="8"/>
        <v>0</v>
      </c>
      <c r="L71" s="32">
        <f t="shared" si="8"/>
        <v>0</v>
      </c>
      <c r="M71" s="32">
        <f t="shared" si="8"/>
        <v>0</v>
      </c>
      <c r="N71" s="32">
        <f t="shared" si="8"/>
        <v>0</v>
      </c>
      <c r="O71" s="32">
        <f t="shared" si="8"/>
        <v>0</v>
      </c>
      <c r="P71" s="32">
        <f t="shared" si="8"/>
        <v>0</v>
      </c>
      <c r="Q71" s="32">
        <f t="shared" si="8"/>
        <v>0</v>
      </c>
      <c r="R71" s="32">
        <f t="shared" si="8"/>
        <v>0</v>
      </c>
      <c r="S71" s="32">
        <f t="shared" si="8"/>
        <v>0</v>
      </c>
      <c r="T71" s="32">
        <f t="shared" si="8"/>
        <v>0</v>
      </c>
      <c r="U71" s="32">
        <f t="shared" si="8"/>
        <v>0</v>
      </c>
      <c r="V71" s="32">
        <f t="shared" si="8"/>
        <v>0</v>
      </c>
      <c r="W71" s="32">
        <f t="shared" si="8"/>
        <v>0</v>
      </c>
      <c r="X71" s="32">
        <f t="shared" si="8"/>
        <v>0</v>
      </c>
      <c r="Y71" s="32">
        <f t="shared" si="8"/>
        <v>0</v>
      </c>
      <c r="Z71" s="32">
        <f t="shared" si="8"/>
        <v>0</v>
      </c>
      <c r="AA71" s="32">
        <f t="shared" si="8"/>
        <v>0</v>
      </c>
      <c r="AB71" s="32">
        <f t="shared" si="8"/>
        <v>0</v>
      </c>
      <c r="AC71" s="32">
        <f t="shared" si="8"/>
        <v>0</v>
      </c>
      <c r="AD71" s="32">
        <f t="shared" si="8"/>
        <v>0</v>
      </c>
      <c r="AE71" s="32">
        <f t="shared" si="8"/>
        <v>0</v>
      </c>
      <c r="AF71" s="32">
        <f t="shared" si="8"/>
        <v>0</v>
      </c>
      <c r="AG71" s="32">
        <f t="shared" si="8"/>
        <v>0</v>
      </c>
      <c r="AH71" s="32">
        <f t="shared" si="8"/>
        <v>0</v>
      </c>
      <c r="AI71" t="str">
        <f>AI47</f>
        <v>T-CAR*, T-LGT*, T-HGT*</v>
      </c>
      <c r="AJ71" t="str">
        <f>AJ30</f>
        <v>*New</v>
      </c>
    </row>
    <row r="72" spans="1:36">
      <c r="A72" t="str">
        <f t="shared" ref="A72:A82" si="9">AI72</f>
        <v>T-CAR-ICE_DST21</v>
      </c>
      <c r="B72" t="s">
        <v>391</v>
      </c>
      <c r="E72" t="s">
        <v>223</v>
      </c>
      <c r="F72" t="s">
        <v>222</v>
      </c>
      <c r="G72">
        <v>2022</v>
      </c>
      <c r="H72" s="384">
        <f>SUMIFS('New vehicle sales'!$G$186:$G$215,'New vehicle sales'!$C$186:$C$215,'TRA-CAPs'!G72,'New vehicle sales'!$E$186:$E$215,B72)/1000</f>
        <v>27.187999999999999</v>
      </c>
      <c r="I72" s="364">
        <f>$H72*'New vehicle sales'!D$44</f>
        <v>0.32505482956782661</v>
      </c>
      <c r="J72" s="364">
        <f>$H72*'New vehicle sales'!E$44</f>
        <v>7.6927834980622167</v>
      </c>
      <c r="K72" s="364">
        <f>$H72*'New vehicle sales'!F$44</f>
        <v>1.2703927456994255</v>
      </c>
      <c r="L72" s="364">
        <f>$H72*'New vehicle sales'!G$44</f>
        <v>0.56656785020154876</v>
      </c>
      <c r="M72" s="364">
        <f>$H72*'New vehicle sales'!H$44</f>
        <v>0.48357986545187615</v>
      </c>
      <c r="N72" s="364">
        <f>$H72*'New vehicle sales'!I$44</f>
        <v>0.23336552464213059</v>
      </c>
      <c r="O72" s="364">
        <f>$H72*'New vehicle sales'!J$44</f>
        <v>0.73586676480748558</v>
      </c>
      <c r="P72" s="364">
        <f>$H72*'New vehicle sales'!K$44</f>
        <v>1.1136091157561157</v>
      </c>
      <c r="Q72" s="364">
        <f>$H72*'New vehicle sales'!L$44</f>
        <v>0.44512048703606638</v>
      </c>
      <c r="R72" s="364">
        <f>$H72*'New vehicle sales'!M$44</f>
        <v>0.50683477167034308</v>
      </c>
      <c r="S72" s="364">
        <f>$H72*'New vehicle sales'!N$44</f>
        <v>0.85484190248988512</v>
      </c>
      <c r="T72" s="364">
        <f>$H72*'New vehicle sales'!O$44</f>
        <v>0.8131794790486494</v>
      </c>
      <c r="U72" s="364">
        <f>$H72*'New vehicle sales'!P$44</f>
        <v>0.67838894970772956</v>
      </c>
      <c r="V72" s="364">
        <f>$H72*'New vehicle sales'!Q$44</f>
        <v>3.099519869630909</v>
      </c>
      <c r="W72" s="364">
        <f>$H72*'New vehicle sales'!R$44</f>
        <v>0.84333720422565472</v>
      </c>
      <c r="X72" s="364">
        <f>$H72*'New vehicle sales'!S$44</f>
        <v>1.112781234243305</v>
      </c>
      <c r="Y72" s="364">
        <f>$H72*'New vehicle sales'!T$44</f>
        <v>0.91097226905844608</v>
      </c>
      <c r="Z72" s="364">
        <f>$H72*'New vehicle sales'!U$44</f>
        <v>0.6633100871192269</v>
      </c>
      <c r="AA72" s="364">
        <f>$H72*'New vehicle sales'!V$44</f>
        <v>1.4733892926405925</v>
      </c>
      <c r="AB72" s="364">
        <f>$H72*'New vehicle sales'!W$44</f>
        <v>0.18295610480347496</v>
      </c>
      <c r="AC72" s="364">
        <f>$H72*'New vehicle sales'!X$44</f>
        <v>0.74513332822329015</v>
      </c>
      <c r="AD72" s="364">
        <f>$H72*'New vehicle sales'!Y$44</f>
        <v>0.36851575422654748</v>
      </c>
      <c r="AE72" s="364">
        <f>$H72*'New vehicle sales'!Z$44</f>
        <v>0.37417389615203256</v>
      </c>
      <c r="AF72" s="364">
        <f>$H72*'New vehicle sales'!AA$44</f>
        <v>0.43492898013698378</v>
      </c>
      <c r="AG72" s="364">
        <f>$H72*'New vehicle sales'!AB$44</f>
        <v>0.90891112956793108</v>
      </c>
      <c r="AH72" s="364">
        <f>$H72*'New vehicle sales'!AC$44</f>
        <v>0.35048506583029942</v>
      </c>
      <c r="AI72" t="str">
        <f t="shared" ref="AI72:AI82" si="10">AI48</f>
        <v>T-CAR-ICE_DST21</v>
      </c>
      <c r="AJ72" t="s">
        <v>221</v>
      </c>
    </row>
    <row r="73" spans="1:36">
      <c r="A73" t="str">
        <f t="shared" si="9"/>
        <v>T-CAR-ICE_GSL21</v>
      </c>
      <c r="B73" t="s">
        <v>399</v>
      </c>
      <c r="E73" t="s">
        <v>223</v>
      </c>
      <c r="F73" t="s">
        <v>222</v>
      </c>
      <c r="G73">
        <v>2022</v>
      </c>
      <c r="H73" s="384">
        <f>SUMIFS('New vehicle sales'!$G$186:$G$215,'New vehicle sales'!$C$186:$C$215,'TRA-CAPs'!G73,'New vehicle sales'!$E$186:$E$215,B73)/1000</f>
        <v>30.626999999999999</v>
      </c>
      <c r="I73" s="364">
        <f>$H73*'New vehicle sales'!D$44</f>
        <v>0.36617089396696434</v>
      </c>
      <c r="J73" s="364">
        <f>$H73*'New vehicle sales'!E$44</f>
        <v>8.6658408193008505</v>
      </c>
      <c r="K73" s="364">
        <f>$H73*'New vehicle sales'!F$44</f>
        <v>1.4310842512334965</v>
      </c>
      <c r="L73" s="364">
        <f>$H73*'New vehicle sales'!G$44</f>
        <v>0.63823280668393534</v>
      </c>
      <c r="M73" s="364">
        <f>$H73*'New vehicle sales'!H$44</f>
        <v>0.54474770263331651</v>
      </c>
      <c r="N73" s="364">
        <f>$H73*'New vehicle sales'!I$44</f>
        <v>0.26288384299008877</v>
      </c>
      <c r="O73" s="364">
        <f>$H73*'New vehicle sales'!J$44</f>
        <v>0.82894627798142062</v>
      </c>
      <c r="P73" s="364">
        <f>$H73*'New vehicle sales'!K$44</f>
        <v>1.2544691182971368</v>
      </c>
      <c r="Q73" s="364">
        <f>$H73*'New vehicle sales'!L$44</f>
        <v>0.50142361175715777</v>
      </c>
      <c r="R73" s="364">
        <f>$H73*'New vehicle sales'!M$44</f>
        <v>0.57094411328334549</v>
      </c>
      <c r="S73" s="364">
        <f>$H73*'New vehicle sales'!N$44</f>
        <v>0.96297053654397935</v>
      </c>
      <c r="T73" s="364">
        <f>$H73*'New vehicle sales'!O$44</f>
        <v>0.91603824866937567</v>
      </c>
      <c r="U73" s="364">
        <f>$H73*'New vehicle sales'!P$44</f>
        <v>0.7641981154442633</v>
      </c>
      <c r="V73" s="364">
        <f>$H73*'New vehicle sales'!Q$44</f>
        <v>3.4915769842278159</v>
      </c>
      <c r="W73" s="364">
        <f>$H73*'New vehicle sales'!R$44</f>
        <v>0.95001061327862024</v>
      </c>
      <c r="X73" s="364">
        <f>$H73*'New vehicle sales'!S$44</f>
        <v>1.2535365183599274</v>
      </c>
      <c r="Y73" s="364">
        <f>$H73*'New vehicle sales'!T$44</f>
        <v>1.0262008122867818</v>
      </c>
      <c r="Z73" s="364">
        <f>$H73*'New vehicle sales'!U$44</f>
        <v>0.74721193313964107</v>
      </c>
      <c r="AA73" s="364">
        <f>$H73*'New vehicle sales'!V$44</f>
        <v>1.65975775583726</v>
      </c>
      <c r="AB73" s="364">
        <f>$H73*'New vehicle sales'!W$44</f>
        <v>0.20609815439958906</v>
      </c>
      <c r="AC73" s="364">
        <f>$H73*'New vehicle sales'!X$44</f>
        <v>0.83938496555446185</v>
      </c>
      <c r="AD73" s="364">
        <f>$H73*'New vehicle sales'!Y$44</f>
        <v>0.41512917480860934</v>
      </c>
      <c r="AE73" s="364">
        <f>$H73*'New vehicle sales'!Z$44</f>
        <v>0.42150301300015824</v>
      </c>
      <c r="AF73" s="364">
        <f>$H73*'New vehicle sales'!AA$44</f>
        <v>0.48994298494392391</v>
      </c>
      <c r="AG73" s="364">
        <f>$H73*'New vehicle sales'!AB$44</f>
        <v>1.0238789600293154</v>
      </c>
      <c r="AH73" s="364">
        <f>$H73*'New vehicle sales'!AC$44</f>
        <v>0.39481779134855743</v>
      </c>
      <c r="AI73" t="str">
        <f t="shared" si="10"/>
        <v>T-CAR-ICE_GSL21</v>
      </c>
      <c r="AJ73" t="s">
        <v>221</v>
      </c>
    </row>
    <row r="74" spans="1:36">
      <c r="A74" t="str">
        <f t="shared" si="9"/>
        <v>T-CAR-HEV_GSL21</v>
      </c>
      <c r="B74" t="s">
        <v>558</v>
      </c>
      <c r="E74" t="s">
        <v>223</v>
      </c>
      <c r="F74" t="s">
        <v>222</v>
      </c>
      <c r="G74">
        <v>2022</v>
      </c>
      <c r="H74" s="384">
        <f>SUMIFS('New vehicle sales'!$G$186:$G$215,'New vehicle sales'!$C$186:$C$215,'TRA-CAPs'!G74,'New vehicle sales'!$E$186:$E$215,B74)/1000</f>
        <v>27.355</v>
      </c>
      <c r="I74" s="364">
        <f>$H74*'New vehicle sales'!D$44</f>
        <v>0.32705145147961961</v>
      </c>
      <c r="J74" s="364">
        <f>$H74*'New vehicle sales'!E$44</f>
        <v>7.7400357727487101</v>
      </c>
      <c r="K74" s="364">
        <f>$H74*'New vehicle sales'!F$44</f>
        <v>1.2781960261368173</v>
      </c>
      <c r="L74" s="364">
        <f>$H74*'New vehicle sales'!G$44</f>
        <v>0.57004794550034454</v>
      </c>
      <c r="M74" s="364">
        <f>$H74*'New vehicle sales'!H$44</f>
        <v>0.48655021404428689</v>
      </c>
      <c r="N74" s="364">
        <f>$H74*'New vehicle sales'!I$44</f>
        <v>0.23479895272125509</v>
      </c>
      <c r="O74" s="364">
        <f>$H74*'New vehicle sales'!J$44</f>
        <v>0.74038676442948248</v>
      </c>
      <c r="P74" s="364">
        <f>$H74*'New vehicle sales'!K$44</f>
        <v>1.1204493659522048</v>
      </c>
      <c r="Q74" s="364">
        <f>$H74*'New vehicle sales'!L$44</f>
        <v>0.44785460213592748</v>
      </c>
      <c r="R74" s="364">
        <f>$H74*'New vehicle sales'!M$44</f>
        <v>0.50994796156547872</v>
      </c>
      <c r="S74" s="364">
        <f>$H74*'New vehicle sales'!N$44</f>
        <v>0.86009269687401824</v>
      </c>
      <c r="T74" s="364">
        <f>$H74*'New vehicle sales'!O$44</f>
        <v>0.81817436550595135</v>
      </c>
      <c r="U74" s="364">
        <f>$H74*'New vehicle sales'!P$44</f>
        <v>0.68255589669173689</v>
      </c>
      <c r="V74" s="364">
        <f>$H74*'New vehicle sales'!Q$44</f>
        <v>3.1185584093627159</v>
      </c>
      <c r="W74" s="364">
        <f>$H74*'New vehicle sales'!R$44</f>
        <v>0.84851733196972146</v>
      </c>
      <c r="X74" s="364">
        <f>$H74*'New vehicle sales'!S$44</f>
        <v>1.1196163992469328</v>
      </c>
      <c r="Y74" s="364">
        <f>$H74*'New vehicle sales'!T$44</f>
        <v>0.91656783949145926</v>
      </c>
      <c r="Z74" s="364">
        <f>$H74*'New vehicle sales'!U$44</f>
        <v>0.66738441345985189</v>
      </c>
      <c r="AA74" s="364">
        <f>$H74*'New vehicle sales'!V$44</f>
        <v>1.482439462269509</v>
      </c>
      <c r="AB74" s="364">
        <f>$H74*'New vehicle sales'!W$44</f>
        <v>0.18407989726714205</v>
      </c>
      <c r="AC74" s="364">
        <f>$H74*'New vehicle sales'!X$44</f>
        <v>0.74971024693056143</v>
      </c>
      <c r="AD74" s="364">
        <f>$H74*'New vehicle sales'!Y$44</f>
        <v>0.3707793312074153</v>
      </c>
      <c r="AE74" s="364">
        <f>$H74*'New vehicle sales'!Z$44</f>
        <v>0.3764722277931018</v>
      </c>
      <c r="AF74" s="364">
        <f>$H74*'New vehicle sales'!AA$44</f>
        <v>0.43760049476413093</v>
      </c>
      <c r="AG74" s="364">
        <f>$H74*'New vehicle sales'!AB$44</f>
        <v>0.91449403962523013</v>
      </c>
      <c r="AH74" s="364">
        <f>$H74*'New vehicle sales'!AC$44</f>
        <v>0.35263789082638813</v>
      </c>
      <c r="AI74" t="str">
        <f t="shared" si="10"/>
        <v>T-CAR-HEV_GSL21</v>
      </c>
      <c r="AJ74" t="s">
        <v>221</v>
      </c>
    </row>
    <row r="75" spans="1:36">
      <c r="A75" t="str">
        <f t="shared" si="9"/>
        <v>T-CAR-BEV100_ELC21</v>
      </c>
      <c r="B75" t="s">
        <v>389</v>
      </c>
      <c r="E75" t="s">
        <v>223</v>
      </c>
      <c r="F75" t="s">
        <v>222</v>
      </c>
      <c r="G75">
        <v>2022</v>
      </c>
      <c r="H75" s="384">
        <f>SUMIFS('New vehicle sales'!$G$186:$G$215,'New vehicle sales'!$C$186:$C$215,'TRA-CAPs'!G75,'New vehicle sales'!$E$186:$E$215,B75)/1000</f>
        <v>15.462</v>
      </c>
      <c r="I75" s="364">
        <f>$H75*'New vehicle sales'!D$44</f>
        <v>0.18486088622839986</v>
      </c>
      <c r="J75" s="364">
        <f>$H75*'New vehicle sales'!E$44</f>
        <v>4.3749381509135645</v>
      </c>
      <c r="K75" s="364">
        <f>$H75*'New vehicle sales'!F$44</f>
        <v>0.72248097079610551</v>
      </c>
      <c r="L75" s="364">
        <f>$H75*'New vehicle sales'!G$44</f>
        <v>0.32221097910167529</v>
      </c>
      <c r="M75" s="364">
        <f>$H75*'New vehicle sales'!H$44</f>
        <v>0.27501514931649657</v>
      </c>
      <c r="N75" s="364">
        <f>$H75*'New vehicle sales'!I$44</f>
        <v>0.13271655664324788</v>
      </c>
      <c r="O75" s="364">
        <f>$H75*'New vehicle sales'!J$44</f>
        <v>0.41849242009170751</v>
      </c>
      <c r="P75" s="364">
        <f>$H75*'New vehicle sales'!K$44</f>
        <v>0.63331705707742614</v>
      </c>
      <c r="Q75" s="364">
        <f>$H75*'New vehicle sales'!L$44</f>
        <v>0.25314303996438353</v>
      </c>
      <c r="R75" s="364">
        <f>$H75*'New vehicle sales'!M$44</f>
        <v>0.28824037220710769</v>
      </c>
      <c r="S75" s="364">
        <f>$H75*'New vehicle sales'!N$44</f>
        <v>0.486154387829138</v>
      </c>
      <c r="T75" s="364">
        <f>$H75*'New vehicle sales'!O$44</f>
        <v>0.46246068504671978</v>
      </c>
      <c r="U75" s="364">
        <f>$H75*'New vehicle sales'!P$44</f>
        <v>0.38580439680671302</v>
      </c>
      <c r="V75" s="364">
        <f>$H75*'New vehicle sales'!Q$44</f>
        <v>1.7627179720550654</v>
      </c>
      <c r="W75" s="364">
        <f>$H75*'New vehicle sales'!R$44</f>
        <v>0.47961158789675862</v>
      </c>
      <c r="X75" s="364">
        <f>$H75*'New vehicle sales'!S$44</f>
        <v>0.63284623524606387</v>
      </c>
      <c r="Y75" s="364">
        <f>$H75*'New vehicle sales'!T$44</f>
        <v>0.51807610799550141</v>
      </c>
      <c r="Z75" s="364">
        <f>$H75*'New vehicle sales'!U$44</f>
        <v>0.37722894538169366</v>
      </c>
      <c r="AA75" s="364">
        <f>$H75*'New vehicle sales'!V$44</f>
        <v>0.83792648384613955</v>
      </c>
      <c r="AB75" s="364">
        <f>$H75*'New vehicle sales'!W$44</f>
        <v>0.10404837768395359</v>
      </c>
      <c r="AC75" s="364">
        <f>$H75*'New vehicle sales'!X$44</f>
        <v>0.42376237755585233</v>
      </c>
      <c r="AD75" s="364">
        <f>$H75*'New vehicle sales'!Y$44</f>
        <v>0.20957740885136375</v>
      </c>
      <c r="AE75" s="364">
        <f>$H75*'New vehicle sales'!Z$44</f>
        <v>0.21279523254019156</v>
      </c>
      <c r="AF75" s="364">
        <f>$H75*'New vehicle sales'!AA$44</f>
        <v>0.24734706086795805</v>
      </c>
      <c r="AG75" s="364">
        <f>$H75*'New vehicle sales'!AB$44</f>
        <v>0.51690392398776486</v>
      </c>
      <c r="AH75" s="364">
        <f>$H75*'New vehicle sales'!AC$44</f>
        <v>0.19932323406900432</v>
      </c>
      <c r="AI75" t="str">
        <f t="shared" si="10"/>
        <v>T-CAR-BEV100_ELC21</v>
      </c>
      <c r="AJ75" t="s">
        <v>221</v>
      </c>
    </row>
    <row r="76" spans="1:36">
      <c r="A76" t="str">
        <f t="shared" si="9"/>
        <v>T-CAR-PHEV40_GSL21</v>
      </c>
      <c r="E76" t="s">
        <v>223</v>
      </c>
      <c r="F76" t="s">
        <v>222</v>
      </c>
      <c r="G76">
        <v>2022</v>
      </c>
      <c r="H76" s="384">
        <f>SUMIFS('New vehicle sales'!$G$186:$G$215,'New vehicle sales'!$C$186:$C$215,'TRA-CAPs'!G76,'New vehicle sales'!$E$186:$E$215,B76)/1000</f>
        <v>0</v>
      </c>
      <c r="I76" s="364">
        <f>$H76*'New vehicle sales'!D$44</f>
        <v>0</v>
      </c>
      <c r="J76" s="364">
        <f>$H76*'New vehicle sales'!E$44</f>
        <v>0</v>
      </c>
      <c r="K76" s="364">
        <f>$H76*'New vehicle sales'!F$44</f>
        <v>0</v>
      </c>
      <c r="L76" s="364">
        <f>$H76*'New vehicle sales'!G$44</f>
        <v>0</v>
      </c>
      <c r="M76" s="364">
        <f>$H76*'New vehicle sales'!H$44</f>
        <v>0</v>
      </c>
      <c r="N76" s="364">
        <f>$H76*'New vehicle sales'!I$44</f>
        <v>0</v>
      </c>
      <c r="O76" s="364">
        <f>$H76*'New vehicle sales'!J$44</f>
        <v>0</v>
      </c>
      <c r="P76" s="364">
        <f>$H76*'New vehicle sales'!K$44</f>
        <v>0</v>
      </c>
      <c r="Q76" s="364">
        <f>$H76*'New vehicle sales'!L$44</f>
        <v>0</v>
      </c>
      <c r="R76" s="364">
        <f>$H76*'New vehicle sales'!M$44</f>
        <v>0</v>
      </c>
      <c r="S76" s="364">
        <f>$H76*'New vehicle sales'!N$44</f>
        <v>0</v>
      </c>
      <c r="T76" s="364">
        <f>$H76*'New vehicle sales'!O$44</f>
        <v>0</v>
      </c>
      <c r="U76" s="364">
        <f>$H76*'New vehicle sales'!P$44</f>
        <v>0</v>
      </c>
      <c r="V76" s="364">
        <f>$H76*'New vehicle sales'!Q$44</f>
        <v>0</v>
      </c>
      <c r="W76" s="364">
        <f>$H76*'New vehicle sales'!R$44</f>
        <v>0</v>
      </c>
      <c r="X76" s="364">
        <f>$H76*'New vehicle sales'!S$44</f>
        <v>0</v>
      </c>
      <c r="Y76" s="364">
        <f>$H76*'New vehicle sales'!T$44</f>
        <v>0</v>
      </c>
      <c r="Z76" s="364">
        <f>$H76*'New vehicle sales'!U$44</f>
        <v>0</v>
      </c>
      <c r="AA76" s="364">
        <f>$H76*'New vehicle sales'!V$44</f>
        <v>0</v>
      </c>
      <c r="AB76" s="364">
        <f>$H76*'New vehicle sales'!W$44</f>
        <v>0</v>
      </c>
      <c r="AC76" s="364">
        <f>$H76*'New vehicle sales'!X$44</f>
        <v>0</v>
      </c>
      <c r="AD76" s="364">
        <f>$H76*'New vehicle sales'!Y$44</f>
        <v>0</v>
      </c>
      <c r="AE76" s="364">
        <f>$H76*'New vehicle sales'!Z$44</f>
        <v>0</v>
      </c>
      <c r="AF76" s="364">
        <f>$H76*'New vehicle sales'!AA$44</f>
        <v>0</v>
      </c>
      <c r="AG76" s="364">
        <f>$H76*'New vehicle sales'!AB$44</f>
        <v>0</v>
      </c>
      <c r="AH76" s="364">
        <f>$H76*'New vehicle sales'!AC$44</f>
        <v>0</v>
      </c>
      <c r="AI76" t="str">
        <f t="shared" si="10"/>
        <v>T-CAR-PHEV40_GSL21</v>
      </c>
      <c r="AJ76" t="s">
        <v>221</v>
      </c>
    </row>
    <row r="77" spans="1:36">
      <c r="A77" t="str">
        <f t="shared" si="9"/>
        <v>T-CAR-HEV_DST21</v>
      </c>
      <c r="E77" t="s">
        <v>223</v>
      </c>
      <c r="F77" t="s">
        <v>222</v>
      </c>
      <c r="G77">
        <v>2022</v>
      </c>
      <c r="H77" s="384">
        <f>SUMIFS('New vehicle sales'!$G$186:$G$215,'New vehicle sales'!$C$186:$C$215,'TRA-CAPs'!G77,'New vehicle sales'!$E$186:$E$215,B77)/1000</f>
        <v>0</v>
      </c>
      <c r="I77" s="364">
        <f>$H77*'New vehicle sales'!D$44</f>
        <v>0</v>
      </c>
      <c r="J77" s="364">
        <f>$H77*'New vehicle sales'!E$44</f>
        <v>0</v>
      </c>
      <c r="K77" s="364">
        <f>$H77*'New vehicle sales'!F$44</f>
        <v>0</v>
      </c>
      <c r="L77" s="364">
        <f>$H77*'New vehicle sales'!G$44</f>
        <v>0</v>
      </c>
      <c r="M77" s="364">
        <f>$H77*'New vehicle sales'!H$44</f>
        <v>0</v>
      </c>
      <c r="N77" s="364">
        <f>$H77*'New vehicle sales'!I$44</f>
        <v>0</v>
      </c>
      <c r="O77" s="364">
        <f>$H77*'New vehicle sales'!J$44</f>
        <v>0</v>
      </c>
      <c r="P77" s="364">
        <f>$H77*'New vehicle sales'!K$44</f>
        <v>0</v>
      </c>
      <c r="Q77" s="364">
        <f>$H77*'New vehicle sales'!L$44</f>
        <v>0</v>
      </c>
      <c r="R77" s="364">
        <f>$H77*'New vehicle sales'!M$44</f>
        <v>0</v>
      </c>
      <c r="S77" s="364">
        <f>$H77*'New vehicle sales'!N$44</f>
        <v>0</v>
      </c>
      <c r="T77" s="364">
        <f>$H77*'New vehicle sales'!O$44</f>
        <v>0</v>
      </c>
      <c r="U77" s="364">
        <f>$H77*'New vehicle sales'!P$44</f>
        <v>0</v>
      </c>
      <c r="V77" s="364">
        <f>$H77*'New vehicle sales'!Q$44</f>
        <v>0</v>
      </c>
      <c r="W77" s="364">
        <f>$H77*'New vehicle sales'!R$44</f>
        <v>0</v>
      </c>
      <c r="X77" s="364">
        <f>$H77*'New vehicle sales'!S$44</f>
        <v>0</v>
      </c>
      <c r="Y77" s="364">
        <f>$H77*'New vehicle sales'!T$44</f>
        <v>0</v>
      </c>
      <c r="Z77" s="364">
        <f>$H77*'New vehicle sales'!U$44</f>
        <v>0</v>
      </c>
      <c r="AA77" s="364">
        <f>$H77*'New vehicle sales'!V$44</f>
        <v>0</v>
      </c>
      <c r="AB77" s="364">
        <f>$H77*'New vehicle sales'!W$44</f>
        <v>0</v>
      </c>
      <c r="AC77" s="364">
        <f>$H77*'New vehicle sales'!X$44</f>
        <v>0</v>
      </c>
      <c r="AD77" s="364">
        <f>$H77*'New vehicle sales'!Y$44</f>
        <v>0</v>
      </c>
      <c r="AE77" s="364">
        <f>$H77*'New vehicle sales'!Z$44</f>
        <v>0</v>
      </c>
      <c r="AF77" s="364">
        <f>$H77*'New vehicle sales'!AA$44</f>
        <v>0</v>
      </c>
      <c r="AG77" s="364">
        <f>$H77*'New vehicle sales'!AB$44</f>
        <v>0</v>
      </c>
      <c r="AH77" s="364">
        <f>$H77*'New vehicle sales'!AC$44</f>
        <v>0</v>
      </c>
      <c r="AI77" t="str">
        <f t="shared" si="10"/>
        <v>T-CAR-HEV_DST21</v>
      </c>
      <c r="AJ77" t="s">
        <v>221</v>
      </c>
    </row>
    <row r="78" spans="1:36">
      <c r="A78" t="str">
        <f t="shared" si="9"/>
        <v>T-CAR-PHEV40_DST21</v>
      </c>
      <c r="E78" t="s">
        <v>223</v>
      </c>
      <c r="F78" t="s">
        <v>222</v>
      </c>
      <c r="G78">
        <v>2022</v>
      </c>
      <c r="H78" s="384">
        <f>SUMIFS('New vehicle sales'!$G$186:$G$215,'New vehicle sales'!$C$186:$C$215,'TRA-CAPs'!G78,'New vehicle sales'!$E$186:$E$215,B78)/1000</f>
        <v>0</v>
      </c>
      <c r="I78" s="364">
        <f>$H78*'New vehicle sales'!D$44</f>
        <v>0</v>
      </c>
      <c r="J78" s="364">
        <f>$H78*'New vehicle sales'!E$44</f>
        <v>0</v>
      </c>
      <c r="K78" s="364">
        <f>$H78*'New vehicle sales'!F$44</f>
        <v>0</v>
      </c>
      <c r="L78" s="364">
        <f>$H78*'New vehicle sales'!G$44</f>
        <v>0</v>
      </c>
      <c r="M78" s="364">
        <f>$H78*'New vehicle sales'!H$44</f>
        <v>0</v>
      </c>
      <c r="N78" s="364">
        <f>$H78*'New vehicle sales'!I$44</f>
        <v>0</v>
      </c>
      <c r="O78" s="364">
        <f>$H78*'New vehicle sales'!J$44</f>
        <v>0</v>
      </c>
      <c r="P78" s="364">
        <f>$H78*'New vehicle sales'!K$44</f>
        <v>0</v>
      </c>
      <c r="Q78" s="364">
        <f>$H78*'New vehicle sales'!L$44</f>
        <v>0</v>
      </c>
      <c r="R78" s="364">
        <f>$H78*'New vehicle sales'!M$44</f>
        <v>0</v>
      </c>
      <c r="S78" s="364">
        <f>$H78*'New vehicle sales'!N$44</f>
        <v>0</v>
      </c>
      <c r="T78" s="364">
        <f>$H78*'New vehicle sales'!O$44</f>
        <v>0</v>
      </c>
      <c r="U78" s="364">
        <f>$H78*'New vehicle sales'!P$44</f>
        <v>0</v>
      </c>
      <c r="V78" s="364">
        <f>$H78*'New vehicle sales'!Q$44</f>
        <v>0</v>
      </c>
      <c r="W78" s="364">
        <f>$H78*'New vehicle sales'!R$44</f>
        <v>0</v>
      </c>
      <c r="X78" s="364">
        <f>$H78*'New vehicle sales'!S$44</f>
        <v>0</v>
      </c>
      <c r="Y78" s="364">
        <f>$H78*'New vehicle sales'!T$44</f>
        <v>0</v>
      </c>
      <c r="Z78" s="364">
        <f>$H78*'New vehicle sales'!U$44</f>
        <v>0</v>
      </c>
      <c r="AA78" s="364">
        <f>$H78*'New vehicle sales'!V$44</f>
        <v>0</v>
      </c>
      <c r="AB78" s="364">
        <f>$H78*'New vehicle sales'!W$44</f>
        <v>0</v>
      </c>
      <c r="AC78" s="364">
        <f>$H78*'New vehicle sales'!X$44</f>
        <v>0</v>
      </c>
      <c r="AD78" s="364">
        <f>$H78*'New vehicle sales'!Y$44</f>
        <v>0</v>
      </c>
      <c r="AE78" s="364">
        <f>$H78*'New vehicle sales'!Z$44</f>
        <v>0</v>
      </c>
      <c r="AF78" s="364">
        <f>$H78*'New vehicle sales'!AA$44</f>
        <v>0</v>
      </c>
      <c r="AG78" s="364">
        <f>$H78*'New vehicle sales'!AB$44</f>
        <v>0</v>
      </c>
      <c r="AH78" s="364">
        <f>$H78*'New vehicle sales'!AC$44</f>
        <v>0</v>
      </c>
      <c r="AI78" t="str">
        <f t="shared" si="10"/>
        <v>T-CAR-PHEV40_DST21</v>
      </c>
      <c r="AJ78" t="s">
        <v>221</v>
      </c>
    </row>
    <row r="79" spans="1:36">
      <c r="A79" t="str">
        <f t="shared" si="9"/>
        <v>T-LGT-ICE_DST61</v>
      </c>
      <c r="E79" t="s">
        <v>223</v>
      </c>
      <c r="F79" t="s">
        <v>222</v>
      </c>
      <c r="G79">
        <v>2022</v>
      </c>
      <c r="H79" s="384">
        <f>'New vehicle sales'!F19/1000</f>
        <v>21.011182244768548</v>
      </c>
      <c r="I79" s="364">
        <f>$H79*'New vehicle sales'!D$44</f>
        <v>0.25120590935676718</v>
      </c>
      <c r="J79" s="364">
        <f>$H79*'New vehicle sales'!E$44</f>
        <v>5.9450667959148644</v>
      </c>
      <c r="K79" s="364">
        <f>$H79*'New vehicle sales'!F$44</f>
        <v>0.98177333758726404</v>
      </c>
      <c r="L79" s="364">
        <f>$H79*'New vehicle sales'!G$44</f>
        <v>0.43784979971353055</v>
      </c>
      <c r="M79" s="364">
        <f>$H79*'New vehicle sales'!H$44</f>
        <v>0.37371578206966399</v>
      </c>
      <c r="N79" s="364">
        <f>$H79*'New vehicle sales'!I$44</f>
        <v>0.18034741679791938</v>
      </c>
      <c r="O79" s="364">
        <f>$H79*'New vehicle sales'!J$44</f>
        <v>0.56868584313808723</v>
      </c>
      <c r="P79" s="364">
        <f>$H79*'New vehicle sales'!K$44</f>
        <v>0.86060924233438651</v>
      </c>
      <c r="Q79" s="364">
        <f>$H79*'New vehicle sales'!L$44</f>
        <v>0.34399395593625598</v>
      </c>
      <c r="R79" s="364">
        <f>$H79*'New vehicle sales'!M$44</f>
        <v>0.39168742664231398</v>
      </c>
      <c r="S79" s="364">
        <f>$H79*'New vehicle sales'!N$44</f>
        <v>0.66063112416064596</v>
      </c>
      <c r="T79" s="364">
        <f>$H79*'New vehicle sales'!O$44</f>
        <v>0.62843394997782553</v>
      </c>
      <c r="U79" s="364">
        <f>$H79*'New vehicle sales'!P$44</f>
        <v>0.52426636218722344</v>
      </c>
      <c r="V79" s="364">
        <f>$H79*'New vehicle sales'!Q$44</f>
        <v>2.3953426825105297</v>
      </c>
      <c r="W79" s="364">
        <f>$H79*'New vehicle sales'!R$44</f>
        <v>0.65174016815428959</v>
      </c>
      <c r="X79" s="364">
        <f>$H79*'New vehicle sales'!S$44</f>
        <v>0.8599694464927381</v>
      </c>
      <c r="Y79" s="364">
        <f>$H79*'New vehicle sales'!T$44</f>
        <v>0.70400928222441295</v>
      </c>
      <c r="Z79" s="364">
        <f>$H79*'New vehicle sales'!U$44</f>
        <v>0.51261325309899142</v>
      </c>
      <c r="AA79" s="364">
        <f>$H79*'New vehicle sales'!V$44</f>
        <v>1.1386512779594713</v>
      </c>
      <c r="AB79" s="364">
        <f>$H79*'New vehicle sales'!W$44</f>
        <v>0.14139046861919918</v>
      </c>
      <c r="AC79" s="364">
        <f>$H79*'New vehicle sales'!X$44</f>
        <v>0.57584714417943539</v>
      </c>
      <c r="AD79" s="364">
        <f>$H79*'New vehicle sales'!Y$44</f>
        <v>0.28479298485075494</v>
      </c>
      <c r="AE79" s="364">
        <f>$H79*'New vehicle sales'!Z$44</f>
        <v>0.28916565849953868</v>
      </c>
      <c r="AF79" s="364">
        <f>$H79*'New vehicle sales'!AA$44</f>
        <v>0.33611784850630744</v>
      </c>
      <c r="AG79" s="364">
        <f>$H79*'New vehicle sales'!AB$44</f>
        <v>0.70241641119796383</v>
      </c>
      <c r="AH79" s="364">
        <f>$H79*'New vehicle sales'!AC$44</f>
        <v>0.27085867265816255</v>
      </c>
      <c r="AI79" t="str">
        <f t="shared" si="10"/>
        <v>T-LGT-ICE_DST61</v>
      </c>
      <c r="AJ79" t="s">
        <v>221</v>
      </c>
    </row>
    <row r="80" spans="1:36">
      <c r="A80" t="str">
        <f t="shared" si="9"/>
        <v>T-LGT-HEV_DST61</v>
      </c>
      <c r="E80" t="s">
        <v>223</v>
      </c>
      <c r="F80" t="s">
        <v>222</v>
      </c>
      <c r="G80">
        <v>2022</v>
      </c>
      <c r="H80" s="384">
        <f>'New vehicle sales'!F20/1000</f>
        <v>0.124</v>
      </c>
      <c r="I80" s="364">
        <f>$H80*'New vehicle sales'!D$44</f>
        <v>1.4825216590558521E-3</v>
      </c>
      <c r="J80" s="364">
        <f>$H80*'New vehicle sales'!E$44</f>
        <v>3.5085521324103093E-2</v>
      </c>
      <c r="K80" s="364">
        <f>$H80*'New vehicle sales'!F$44</f>
        <v>5.794052540338707E-3</v>
      </c>
      <c r="L80" s="364">
        <f>$H80*'New vehicle sales'!G$44</f>
        <v>2.5840228565908508E-3</v>
      </c>
      <c r="M80" s="364">
        <f>$H80*'New vehicle sales'!H$44</f>
        <v>2.2055282961612713E-3</v>
      </c>
      <c r="N80" s="364">
        <f>$H80*'New vehicle sales'!I$44</f>
        <v>1.0643418072540899E-3</v>
      </c>
      <c r="O80" s="364">
        <f>$H80*'New vehicle sales'!J$44</f>
        <v>3.3561673839976542E-3</v>
      </c>
      <c r="P80" s="364">
        <f>$H80*'New vehicle sales'!K$44</f>
        <v>5.078988169551212E-3</v>
      </c>
      <c r="Q80" s="364">
        <f>$H80*'New vehicle sales'!L$44</f>
        <v>2.0301213915136177E-3</v>
      </c>
      <c r="R80" s="364">
        <f>$H80*'New vehicle sales'!M$44</f>
        <v>2.3115901017773479E-3</v>
      </c>
      <c r="S80" s="364">
        <f>$H80*'New vehicle sales'!N$44</f>
        <v>3.8987934349251786E-3</v>
      </c>
      <c r="T80" s="364">
        <f>$H80*'New vehicle sales'!O$44</f>
        <v>3.7087779682960322E-3</v>
      </c>
      <c r="U80" s="364">
        <f>$H80*'New vehicle sales'!P$44</f>
        <v>3.0940205150712984E-3</v>
      </c>
      <c r="V80" s="364">
        <f>$H80*'New vehicle sales'!Q$44</f>
        <v>1.4136400758946328E-2</v>
      </c>
      <c r="W80" s="364">
        <f>$H80*'New vehicle sales'!R$44</f>
        <v>3.8463223967920108E-3</v>
      </c>
      <c r="X80" s="364">
        <f>$H80*'New vehicle sales'!S$44</f>
        <v>5.0752123380230184E-3</v>
      </c>
      <c r="Y80" s="364">
        <f>$H80*'New vehicle sales'!T$44</f>
        <v>4.1547948125366819E-3</v>
      </c>
      <c r="Z80" s="364">
        <f>$H80*'New vehicle sales'!U$44</f>
        <v>3.0252483008233093E-3</v>
      </c>
      <c r="AA80" s="364">
        <f>$H80*'New vehicle sales'!V$44</f>
        <v>6.7198864310516948E-3</v>
      </c>
      <c r="AB80" s="364">
        <f>$H80*'New vehicle sales'!W$44</f>
        <v>8.3443272751327409E-4</v>
      </c>
      <c r="AC80" s="364">
        <f>$H80*'New vehicle sales'!X$44</f>
        <v>3.3984306568959829E-3</v>
      </c>
      <c r="AD80" s="364">
        <f>$H80*'New vehicle sales'!Y$44</f>
        <v>1.68073979417728E-3</v>
      </c>
      <c r="AE80" s="364">
        <f>$H80*'New vehicle sales'!Z$44</f>
        <v>1.7065456496561733E-3</v>
      </c>
      <c r="AF80" s="364">
        <f>$H80*'New vehicle sales'!AA$44</f>
        <v>1.983639603390687E-3</v>
      </c>
      <c r="AG80" s="364">
        <f>$H80*'New vehicle sales'!AB$44</f>
        <v>4.1453942940423514E-3</v>
      </c>
      <c r="AH80" s="364">
        <f>$H80*'New vehicle sales'!AC$44</f>
        <v>1.5985047875149746E-3</v>
      </c>
      <c r="AI80" t="str">
        <f t="shared" si="10"/>
        <v>T-LGT-HEV_DST61</v>
      </c>
      <c r="AJ80" t="s">
        <v>221</v>
      </c>
    </row>
    <row r="81" spans="1:36">
      <c r="A81" t="str">
        <f t="shared" si="9"/>
        <v>T-LGT-BEV_ELC61</v>
      </c>
      <c r="E81" t="s">
        <v>223</v>
      </c>
      <c r="F81" t="s">
        <v>222</v>
      </c>
      <c r="G81">
        <v>2022</v>
      </c>
      <c r="H81" s="384">
        <f>'New vehicle sales'!F21/1000</f>
        <v>0.41099999999999998</v>
      </c>
      <c r="I81" s="364">
        <f>$H81*'New vehicle sales'!D$44</f>
        <v>4.9138419505802833E-3</v>
      </c>
      <c r="J81" s="364">
        <f>$H81*'New vehicle sales'!E$44</f>
        <v>0.11629152632424491</v>
      </c>
      <c r="K81" s="364">
        <f>$H81*'New vehicle sales'!F$44</f>
        <v>1.9204480597412973E-2</v>
      </c>
      <c r="L81" s="364">
        <f>$H81*'New vehicle sales'!G$44</f>
        <v>8.5647854359583841E-3</v>
      </c>
      <c r="M81" s="364">
        <f>$H81*'New vehicle sales'!H$44</f>
        <v>7.3102591106635681E-3</v>
      </c>
      <c r="N81" s="364">
        <f>$H81*'New vehicle sales'!I$44</f>
        <v>3.5277780869470234E-3</v>
      </c>
      <c r="O81" s="364">
        <f>$H81*'New vehicle sales'!J$44</f>
        <v>1.1124070925992224E-2</v>
      </c>
      <c r="P81" s="364">
        <f>$H81*'New vehicle sales'!K$44</f>
        <v>1.6834388207141514E-2</v>
      </c>
      <c r="Q81" s="364">
        <f>$H81*'New vehicle sales'!L$44</f>
        <v>6.7288700960652969E-3</v>
      </c>
      <c r="R81" s="364">
        <f>$H81*'New vehicle sales'!M$44</f>
        <v>7.6618026760523388E-3</v>
      </c>
      <c r="S81" s="364">
        <f>$H81*'New vehicle sales'!N$44</f>
        <v>1.2922613723824583E-2</v>
      </c>
      <c r="T81" s="364">
        <f>$H81*'New vehicle sales'!O$44</f>
        <v>1.2292804394916687E-2</v>
      </c>
      <c r="U81" s="364">
        <f>$H81*'New vehicle sales'!P$44</f>
        <v>1.0255180900760512E-2</v>
      </c>
      <c r="V81" s="364">
        <f>$H81*'New vehicle sales'!Q$44</f>
        <v>4.6855328321991456E-2</v>
      </c>
      <c r="W81" s="364">
        <f>$H81*'New vehicle sales'!R$44</f>
        <v>1.2748697621625131E-2</v>
      </c>
      <c r="X81" s="364">
        <f>$H81*'New vehicle sales'!S$44</f>
        <v>1.6821873152640811E-2</v>
      </c>
      <c r="Y81" s="364">
        <f>$H81*'New vehicle sales'!T$44</f>
        <v>1.3771134418972389E-2</v>
      </c>
      <c r="Z81" s="364">
        <f>$H81*'New vehicle sales'!U$44</f>
        <v>1.0027234287406291E-2</v>
      </c>
      <c r="AA81" s="364">
        <f>$H81*'New vehicle sales'!V$44</f>
        <v>2.2273171960985858E-2</v>
      </c>
      <c r="AB81" s="364">
        <f>$H81*'New vehicle sales'!W$44</f>
        <v>2.7657407339351263E-3</v>
      </c>
      <c r="AC81" s="364">
        <f>$H81*'New vehicle sales'!X$44</f>
        <v>1.1264153225679427E-2</v>
      </c>
      <c r="AD81" s="364">
        <f>$H81*'New vehicle sales'!Y$44</f>
        <v>5.5708391565069525E-3</v>
      </c>
      <c r="AE81" s="364">
        <f>$H81*'New vehicle sales'!Z$44</f>
        <v>5.6563730807152194E-3</v>
      </c>
      <c r="AF81" s="364">
        <f>$H81*'New vehicle sales'!AA$44</f>
        <v>6.5748054596255828E-3</v>
      </c>
      <c r="AG81" s="364">
        <f>$H81*'New vehicle sales'!AB$44</f>
        <v>1.3739976248801666E-2</v>
      </c>
      <c r="AH81" s="364">
        <f>$H81*'New vehicle sales'!AC$44</f>
        <v>5.298269900553665E-3</v>
      </c>
      <c r="AI81" t="str">
        <f t="shared" si="10"/>
        <v>T-LGT-BEV_ELC61</v>
      </c>
      <c r="AJ81" t="s">
        <v>221</v>
      </c>
    </row>
    <row r="82" spans="1:36">
      <c r="A82" t="str">
        <f t="shared" si="9"/>
        <v>T-HGT-ICE_DST81</v>
      </c>
      <c r="D82" s="30"/>
      <c r="E82" s="30" t="s">
        <v>223</v>
      </c>
      <c r="F82" s="30" t="s">
        <v>222</v>
      </c>
      <c r="G82" s="30">
        <v>2022</v>
      </c>
      <c r="H82" s="385">
        <f>'New vehicle sales'!F34/1000</f>
        <v>1.7969999999999999</v>
      </c>
      <c r="I82" s="365">
        <f>$H82*'New vehicle sales'!D$44</f>
        <v>2.1484608236478759E-2</v>
      </c>
      <c r="J82" s="365">
        <f>$H82*'New vehicle sales'!E$44</f>
        <v>0.5084571114468811</v>
      </c>
      <c r="K82" s="365">
        <f>$H82*'New vehicle sales'!F$44</f>
        <v>8.3967035604747234E-2</v>
      </c>
      <c r="L82" s="365">
        <f>$H82*'New vehicle sales'!G$44</f>
        <v>3.744749252656257E-2</v>
      </c>
      <c r="M82" s="365">
        <f>$H82*'New vehicle sales'!H$44</f>
        <v>3.1962373775821E-2</v>
      </c>
      <c r="N82" s="365">
        <f>$H82*'New vehicle sales'!I$44</f>
        <v>1.5424372803512899E-2</v>
      </c>
      <c r="O82" s="365">
        <f>$H82*'New vehicle sales'!J$44</f>
        <v>4.8637361201966003E-2</v>
      </c>
      <c r="P82" s="365">
        <f>$H82*'New vehicle sales'!K$44</f>
        <v>7.3604368876480059E-2</v>
      </c>
      <c r="Q82" s="365">
        <f>$H82*'New vehicle sales'!L$44</f>
        <v>2.9420388230241699E-2</v>
      </c>
      <c r="R82" s="365">
        <f>$H82*'New vehicle sales'!M$44</f>
        <v>3.349941462011205E-2</v>
      </c>
      <c r="S82" s="365">
        <f>$H82*'New vehicle sales'!N$44</f>
        <v>5.650106292387537E-2</v>
      </c>
      <c r="T82" s="365">
        <f>$H82*'New vehicle sales'!O$44</f>
        <v>5.3747371040548143E-2</v>
      </c>
      <c r="U82" s="365">
        <f>$H82*'New vehicle sales'!P$44</f>
        <v>4.4838345690186479E-2</v>
      </c>
      <c r="V82" s="365">
        <f>$H82*'New vehicle sales'!Q$44</f>
        <v>0.20486380777279475</v>
      </c>
      <c r="W82" s="365">
        <f>$H82*'New vehicle sales'!R$44</f>
        <v>5.5740656024477767E-2</v>
      </c>
      <c r="X82" s="365">
        <f>$H82*'New vehicle sales'!S$44</f>
        <v>7.3549649769575523E-2</v>
      </c>
      <c r="Y82" s="365">
        <f>$H82*'New vehicle sales'!T$44</f>
        <v>6.0211018372003364E-2</v>
      </c>
      <c r="Z82" s="365">
        <f>$H82*'New vehicle sales'!U$44</f>
        <v>4.3841703198221671E-2</v>
      </c>
      <c r="AA82" s="365">
        <f>$H82*'New vehicle sales'!V$44</f>
        <v>9.7384160617741092E-2</v>
      </c>
      <c r="AB82" s="365">
        <f>$H82*'New vehicle sales'!W$44</f>
        <v>1.2092545252752851E-2</v>
      </c>
      <c r="AC82" s="365">
        <f>$H82*'New vehicle sales'!X$44</f>
        <v>4.9249837826145816E-2</v>
      </c>
      <c r="AD82" s="365">
        <f>$H82*'New vehicle sales'!Y$44</f>
        <v>2.4357172662391711E-2</v>
      </c>
      <c r="AE82" s="365">
        <f>$H82*'New vehicle sales'!Z$44</f>
        <v>2.4731149455097929E-2</v>
      </c>
      <c r="AF82" s="365">
        <f>$H82*'New vehicle sales'!AA$44</f>
        <v>2.8746777155589227E-2</v>
      </c>
      <c r="AG82" s="365">
        <f>$H82*'New vehicle sales'!AB$44</f>
        <v>6.0074786664468596E-2</v>
      </c>
      <c r="AH82" s="365">
        <f>$H82*'New vehicle sales'!AC$44</f>
        <v>2.3165428251325882E-2</v>
      </c>
      <c r="AI82" s="30" t="str">
        <f t="shared" si="10"/>
        <v>T-HGT-ICE_DST81</v>
      </c>
      <c r="AJ82" s="30" t="s">
        <v>221</v>
      </c>
    </row>
    <row r="91" spans="1:36" ht="21">
      <c r="C91" s="39" t="s">
        <v>566</v>
      </c>
    </row>
    <row r="92" spans="1:36" ht="21">
      <c r="C92" s="39"/>
    </row>
    <row r="93" spans="1:36">
      <c r="C93" t="s">
        <v>230</v>
      </c>
    </row>
    <row r="94" spans="1:36">
      <c r="D94" s="38" t="s">
        <v>229</v>
      </c>
      <c r="I94" s="37"/>
      <c r="J94" s="36"/>
      <c r="K94" s="36"/>
      <c r="L94" s="36"/>
      <c r="M94" s="36"/>
      <c r="O94" s="36"/>
      <c r="P94" s="36"/>
    </row>
    <row r="95" spans="1:36" ht="15" thickBot="1">
      <c r="D95" s="35" t="s">
        <v>228</v>
      </c>
      <c r="E95" s="35" t="s">
        <v>227</v>
      </c>
      <c r="F95" s="35" t="s">
        <v>198</v>
      </c>
      <c r="G95" s="35" t="s">
        <v>226</v>
      </c>
      <c r="H95" s="34" t="str">
        <f>Regions!C$3</f>
        <v>IE</v>
      </c>
      <c r="I95" s="34" t="str">
        <f>Regions!E$3</f>
        <v>IE-CW</v>
      </c>
      <c r="J95" s="34" t="str">
        <f>Regions!F$3</f>
        <v>IE-D</v>
      </c>
      <c r="K95" s="34" t="str">
        <f>Regions!G$3</f>
        <v>IE-KE</v>
      </c>
      <c r="L95" s="34" t="str">
        <f>Regions!H$3</f>
        <v>IE-KK</v>
      </c>
      <c r="M95" s="34" t="str">
        <f>Regions!I$3</f>
        <v>IE-LS</v>
      </c>
      <c r="N95" s="34" t="str">
        <f>Regions!J$3</f>
        <v>IE-LD</v>
      </c>
      <c r="O95" s="34" t="str">
        <f>Regions!K$3</f>
        <v>IE-LH</v>
      </c>
      <c r="P95" s="34" t="str">
        <f>Regions!L$3</f>
        <v>IE-MH</v>
      </c>
      <c r="Q95" s="34" t="str">
        <f>Regions!M$3</f>
        <v>IE-OY</v>
      </c>
      <c r="R95" s="34" t="str">
        <f>Regions!N$3</f>
        <v>IE-WH</v>
      </c>
      <c r="S95" s="34" t="str">
        <f>Regions!O$3</f>
        <v>IE-WX</v>
      </c>
      <c r="T95" s="34" t="str">
        <f>Regions!P$3</f>
        <v>IE-WW</v>
      </c>
      <c r="U95" s="34" t="str">
        <f>Regions!Q$3</f>
        <v>IE-CE</v>
      </c>
      <c r="V95" s="34" t="str">
        <f>Regions!R$3</f>
        <v>IE-CO</v>
      </c>
      <c r="W95" s="34" t="str">
        <f>Regions!S$3</f>
        <v>IE-KY</v>
      </c>
      <c r="X95" s="34" t="str">
        <f>Regions!T$3</f>
        <v>IE-LK</v>
      </c>
      <c r="Y95" s="34" t="str">
        <f>Regions!U$3</f>
        <v>IE-TA</v>
      </c>
      <c r="Z95" s="34" t="str">
        <f>Regions!V$3</f>
        <v>IE-WD</v>
      </c>
      <c r="AA95" s="34" t="str">
        <f>Regions!W$3</f>
        <v>IE-G</v>
      </c>
      <c r="AB95" s="34" t="str">
        <f>Regions!X$3</f>
        <v>IE-LM</v>
      </c>
      <c r="AC95" s="34" t="str">
        <f>Regions!Y$3</f>
        <v>IE-MO</v>
      </c>
      <c r="AD95" s="34" t="str">
        <f>Regions!Z$3</f>
        <v>IE-RN</v>
      </c>
      <c r="AE95" s="34" t="str">
        <f>Regions!AA$3</f>
        <v>IE-SO</v>
      </c>
      <c r="AF95" s="34" t="str">
        <f>Regions!AB$3</f>
        <v>IE-CN</v>
      </c>
      <c r="AG95" s="34" t="str">
        <f>Regions!AC$3</f>
        <v>IE-DL</v>
      </c>
      <c r="AH95" s="34" t="str">
        <f>Regions!AD$3</f>
        <v>IE-MN</v>
      </c>
      <c r="AI95" s="33" t="s">
        <v>225</v>
      </c>
      <c r="AJ95" s="33" t="s">
        <v>224</v>
      </c>
    </row>
    <row r="96" spans="1:36">
      <c r="A96" t="str">
        <f>A71</f>
        <v>T-CAR*, T-LGT*, T-HGT*</v>
      </c>
      <c r="E96" t="s">
        <v>223</v>
      </c>
      <c r="F96" t="str">
        <f>F55</f>
        <v>NCAP_BND</v>
      </c>
      <c r="G96">
        <v>2023</v>
      </c>
      <c r="H96" s="32">
        <v>0</v>
      </c>
      <c r="I96" s="32">
        <f>H96</f>
        <v>0</v>
      </c>
      <c r="J96" s="32">
        <f t="shared" ref="J96:AH96" si="11">I96</f>
        <v>0</v>
      </c>
      <c r="K96" s="32">
        <f t="shared" si="11"/>
        <v>0</v>
      </c>
      <c r="L96" s="32">
        <f t="shared" si="11"/>
        <v>0</v>
      </c>
      <c r="M96" s="32">
        <f t="shared" si="11"/>
        <v>0</v>
      </c>
      <c r="N96" s="32">
        <f t="shared" si="11"/>
        <v>0</v>
      </c>
      <c r="O96" s="32">
        <f t="shared" si="11"/>
        <v>0</v>
      </c>
      <c r="P96" s="32">
        <f t="shared" si="11"/>
        <v>0</v>
      </c>
      <c r="Q96" s="32">
        <f t="shared" si="11"/>
        <v>0</v>
      </c>
      <c r="R96" s="32">
        <f t="shared" si="11"/>
        <v>0</v>
      </c>
      <c r="S96" s="32">
        <f t="shared" si="11"/>
        <v>0</v>
      </c>
      <c r="T96" s="32">
        <f t="shared" si="11"/>
        <v>0</v>
      </c>
      <c r="U96" s="32">
        <f t="shared" si="11"/>
        <v>0</v>
      </c>
      <c r="V96" s="32">
        <f t="shared" si="11"/>
        <v>0</v>
      </c>
      <c r="W96" s="32">
        <f t="shared" si="11"/>
        <v>0</v>
      </c>
      <c r="X96" s="32">
        <f t="shared" si="11"/>
        <v>0</v>
      </c>
      <c r="Y96" s="32">
        <f t="shared" si="11"/>
        <v>0</v>
      </c>
      <c r="Z96" s="32">
        <f t="shared" si="11"/>
        <v>0</v>
      </c>
      <c r="AA96" s="32">
        <f t="shared" si="11"/>
        <v>0</v>
      </c>
      <c r="AB96" s="32">
        <f t="shared" si="11"/>
        <v>0</v>
      </c>
      <c r="AC96" s="32">
        <f t="shared" si="11"/>
        <v>0</v>
      </c>
      <c r="AD96" s="32">
        <f t="shared" si="11"/>
        <v>0</v>
      </c>
      <c r="AE96" s="32">
        <f t="shared" si="11"/>
        <v>0</v>
      </c>
      <c r="AF96" s="32">
        <f t="shared" si="11"/>
        <v>0</v>
      </c>
      <c r="AG96" s="32">
        <f t="shared" si="11"/>
        <v>0</v>
      </c>
      <c r="AH96" s="32">
        <f t="shared" si="11"/>
        <v>0</v>
      </c>
      <c r="AI96" t="str">
        <f>AI71</f>
        <v>T-CAR*, T-LGT*, T-HGT*</v>
      </c>
      <c r="AJ96" t="str">
        <f>AJ55</f>
        <v>*New</v>
      </c>
    </row>
    <row r="97" spans="1:36">
      <c r="A97" t="str">
        <f t="shared" ref="A97:A107" si="12">A72</f>
        <v>T-CAR-ICE_DST21</v>
      </c>
      <c r="B97" t="s">
        <v>391</v>
      </c>
      <c r="E97" t="s">
        <v>223</v>
      </c>
      <c r="F97" t="s">
        <v>222</v>
      </c>
      <c r="G97">
        <v>2023</v>
      </c>
      <c r="H97" s="384">
        <f>SUMIFS('New vehicle sales'!$G$186:$G$215,'New vehicle sales'!$C$186:$C$215,'TRA-CAPs'!G97,'New vehicle sales'!$E$186:$E$215,B97)/1000</f>
        <v>33.733111307016685</v>
      </c>
      <c r="I97" s="364">
        <f>$H97*'New vehicle sales'!D$44</f>
        <v>0.40330700112898465</v>
      </c>
      <c r="J97" s="364">
        <f>$H97*'New vehicle sales'!E$44</f>
        <v>9.5447080329893303</v>
      </c>
      <c r="K97" s="364">
        <f>$H97*'New vehicle sales'!F$44</f>
        <v>1.576221123080229</v>
      </c>
      <c r="L97" s="364">
        <f>$H97*'New vehicle sales'!G$44</f>
        <v>0.70296073097785794</v>
      </c>
      <c r="M97" s="364">
        <f>$H97*'New vehicle sales'!H$44</f>
        <v>0.59999460891276635</v>
      </c>
      <c r="N97" s="364">
        <f>$H97*'New vehicle sales'!I$44</f>
        <v>0.28954484397430252</v>
      </c>
      <c r="O97" s="364">
        <f>$H97*'New vehicle sales'!J$44</f>
        <v>0.91301587039816035</v>
      </c>
      <c r="P97" s="364">
        <f>$H97*'New vehicle sales'!K$44</f>
        <v>1.3816941391168707</v>
      </c>
      <c r="Q97" s="364">
        <f>$H97*'New vehicle sales'!L$44</f>
        <v>0.55227670053777789</v>
      </c>
      <c r="R97" s="364">
        <f>$H97*'New vehicle sales'!M$44</f>
        <v>0.6288477919310751</v>
      </c>
      <c r="S97" s="364">
        <f>$H97*'New vehicle sales'!N$44</f>
        <v>1.0606325234144918</v>
      </c>
      <c r="T97" s="364">
        <f>$H97*'New vehicle sales'!O$44</f>
        <v>1.0089404840124294</v>
      </c>
      <c r="U97" s="364">
        <f>$H97*'New vehicle sales'!P$44</f>
        <v>0.8417011162991388</v>
      </c>
      <c r="V97" s="364">
        <f>$H97*'New vehicle sales'!Q$44</f>
        <v>3.8456837119526743</v>
      </c>
      <c r="W97" s="364">
        <f>$H97*'New vehicle sales'!R$44</f>
        <v>1.0463582381746459</v>
      </c>
      <c r="X97" s="364">
        <f>$H97*'New vehicle sales'!S$44</f>
        <v>1.3806669573006038</v>
      </c>
      <c r="Y97" s="364">
        <f>$H97*'New vehicle sales'!T$44</f>
        <v>1.1302754505573824</v>
      </c>
      <c r="Z97" s="364">
        <f>$H97*'New vehicle sales'!U$44</f>
        <v>0.82299223921803066</v>
      </c>
      <c r="AA97" s="364">
        <f>$H97*'New vehicle sales'!V$44</f>
        <v>1.8280861044288541</v>
      </c>
      <c r="AB97" s="364">
        <f>$H97*'New vehicle sales'!W$44</f>
        <v>0.22700009738244192</v>
      </c>
      <c r="AC97" s="364">
        <f>$H97*'New vehicle sales'!X$44</f>
        <v>0.92451322272782277</v>
      </c>
      <c r="AD97" s="364">
        <f>$H97*'New vehicle sales'!Y$44</f>
        <v>0.45723050447672986</v>
      </c>
      <c r="AE97" s="364">
        <f>$H97*'New vehicle sales'!Z$44</f>
        <v>0.46425076088997413</v>
      </c>
      <c r="AF97" s="364">
        <f>$H97*'New vehicle sales'!AA$44</f>
        <v>0.53963173817890697</v>
      </c>
      <c r="AG97" s="364">
        <f>$H97*'New vehicle sales'!AB$44</f>
        <v>1.1277181220355041</v>
      </c>
      <c r="AH97" s="364">
        <f>$H97*'New vehicle sales'!AC$44</f>
        <v>0.43485919291969105</v>
      </c>
      <c r="AI97" t="str">
        <f t="shared" ref="AI97:AI107" si="13">AI72</f>
        <v>T-CAR-ICE_DST21</v>
      </c>
      <c r="AJ97" t="s">
        <v>221</v>
      </c>
    </row>
    <row r="98" spans="1:36">
      <c r="A98" t="str">
        <f t="shared" si="12"/>
        <v>T-CAR-ICE_GSL21</v>
      </c>
      <c r="B98" t="s">
        <v>399</v>
      </c>
      <c r="E98" t="s">
        <v>223</v>
      </c>
      <c r="F98" t="s">
        <v>222</v>
      </c>
      <c r="G98">
        <v>2023</v>
      </c>
      <c r="H98" s="384">
        <f>SUMIFS('New vehicle sales'!$G$186:$G$215,'New vehicle sales'!$C$186:$C$215,'TRA-CAPs'!G98,'New vehicle sales'!$E$186:$E$215,B98)/1000</f>
        <v>38</v>
      </c>
      <c r="I98" s="364">
        <f>$H98*'New vehicle sales'!D$44</f>
        <v>0.45432115358163205</v>
      </c>
      <c r="J98" s="364">
        <f>$H98*'New vehicle sales'!E$44</f>
        <v>10.752014599321916</v>
      </c>
      <c r="K98" s="364">
        <f>$H98*'New vehicle sales'!F$44</f>
        <v>1.7755967462328295</v>
      </c>
      <c r="L98" s="364">
        <f>$H98*'New vehicle sales'!G$44</f>
        <v>0.79187797218106715</v>
      </c>
      <c r="M98" s="364">
        <f>$H98*'New vehicle sales'!H$44</f>
        <v>0.67588770366232509</v>
      </c>
      <c r="N98" s="364">
        <f>$H98*'New vehicle sales'!I$44</f>
        <v>0.32616926351335013</v>
      </c>
      <c r="O98" s="364">
        <f>$H98*'New vehicle sales'!J$44</f>
        <v>1.0285029079992811</v>
      </c>
      <c r="P98" s="364">
        <f>$H98*'New vehicle sales'!K$44</f>
        <v>1.5564641164753714</v>
      </c>
      <c r="Q98" s="364">
        <f>$H98*'New vehicle sales'!L$44</f>
        <v>0.62213397481868926</v>
      </c>
      <c r="R98" s="364">
        <f>$H98*'New vehicle sales'!M$44</f>
        <v>0.7083905150608002</v>
      </c>
      <c r="S98" s="364">
        <f>$H98*'New vehicle sales'!N$44</f>
        <v>1.1947915365093289</v>
      </c>
      <c r="T98" s="364">
        <f>$H98*'New vehicle sales'!O$44</f>
        <v>1.1365609902842679</v>
      </c>
      <c r="U98" s="364">
        <f>$H98*'New vehicle sales'!P$44</f>
        <v>0.94816757719926892</v>
      </c>
      <c r="V98" s="364">
        <f>$H98*'New vehicle sales'!Q$44</f>
        <v>4.3321228132254879</v>
      </c>
      <c r="W98" s="364">
        <f>$H98*'New vehicle sales'!R$44</f>
        <v>1.1787117022427129</v>
      </c>
      <c r="X98" s="364">
        <f>$H98*'New vehicle sales'!S$44</f>
        <v>1.5553070068135058</v>
      </c>
      <c r="Y98" s="364">
        <f>$H98*'New vehicle sales'!T$44</f>
        <v>1.273243571583822</v>
      </c>
      <c r="Z98" s="364">
        <f>$H98*'New vehicle sales'!U$44</f>
        <v>0.92709222122004642</v>
      </c>
      <c r="AA98" s="364">
        <f>$H98*'New vehicle sales'!V$44</f>
        <v>2.0593200353222936</v>
      </c>
      <c r="AB98" s="364">
        <f>$H98*'New vehicle sales'!W$44</f>
        <v>0.25571325520568078</v>
      </c>
      <c r="AC98" s="364">
        <f>$H98*'New vehicle sales'!X$44</f>
        <v>1.0414545561455431</v>
      </c>
      <c r="AD98" s="364">
        <f>$H98*'New vehicle sales'!Y$44</f>
        <v>0.51506542079626327</v>
      </c>
      <c r="AE98" s="364">
        <f>$H98*'New vehicle sales'!Z$44</f>
        <v>0.52297366683011759</v>
      </c>
      <c r="AF98" s="364">
        <f>$H98*'New vehicle sales'!AA$44</f>
        <v>0.60788955587779114</v>
      </c>
      <c r="AG98" s="364">
        <f>$H98*'New vehicle sales'!AB$44</f>
        <v>1.2703627675291078</v>
      </c>
      <c r="AH98" s="364">
        <f>$H98*'New vehicle sales'!AC$44</f>
        <v>0.4898643703674922</v>
      </c>
      <c r="AI98" t="str">
        <f t="shared" si="13"/>
        <v>T-CAR-ICE_GSL21</v>
      </c>
      <c r="AJ98" t="s">
        <v>221</v>
      </c>
    </row>
    <row r="99" spans="1:36">
      <c r="A99" t="str">
        <f t="shared" si="12"/>
        <v>T-CAR-HEV_GSL21</v>
      </c>
      <c r="B99" t="s">
        <v>558</v>
      </c>
      <c r="E99" t="s">
        <v>223</v>
      </c>
      <c r="F99" t="s">
        <v>222</v>
      </c>
      <c r="G99">
        <v>2023</v>
      </c>
      <c r="H99" s="384">
        <f>SUMIFS('New vehicle sales'!$G$186:$G$215,'New vehicle sales'!$C$186:$C$215,'TRA-CAPs'!G99,'New vehicle sales'!$E$186:$E$215,B99)/1000</f>
        <v>30</v>
      </c>
      <c r="I99" s="364">
        <f>$H99*'New vehicle sales'!D$44</f>
        <v>0.35867459493286741</v>
      </c>
      <c r="J99" s="364">
        <f>$H99*'New vehicle sales'!E$44</f>
        <v>8.4884325784120378</v>
      </c>
      <c r="K99" s="364">
        <f>$H99*'New vehicle sales'!F$44</f>
        <v>1.4017869049206548</v>
      </c>
      <c r="L99" s="364">
        <f>$H99*'New vehicle sales'!G$44</f>
        <v>0.62516682014294778</v>
      </c>
      <c r="M99" s="364">
        <f>$H99*'New vehicle sales'!H$44</f>
        <v>0.53359555552288818</v>
      </c>
      <c r="N99" s="364">
        <f>$H99*'New vehicle sales'!I$44</f>
        <v>0.25750205014211852</v>
      </c>
      <c r="O99" s="364">
        <f>$H99*'New vehicle sales'!J$44</f>
        <v>0.8119759799994325</v>
      </c>
      <c r="P99" s="364">
        <f>$H99*'New vehicle sales'!K$44</f>
        <v>1.2287874603752931</v>
      </c>
      <c r="Q99" s="364">
        <f>$H99*'New vehicle sales'!L$44</f>
        <v>0.49115840117264942</v>
      </c>
      <c r="R99" s="364">
        <f>$H99*'New vehicle sales'!M$44</f>
        <v>0.55925566978484231</v>
      </c>
      <c r="S99" s="364">
        <f>$H99*'New vehicle sales'!N$44</f>
        <v>0.94325647619157549</v>
      </c>
      <c r="T99" s="364">
        <f>$H99*'New vehicle sales'!O$44</f>
        <v>0.89728499232968528</v>
      </c>
      <c r="U99" s="364">
        <f>$H99*'New vehicle sales'!P$44</f>
        <v>0.74855335042047544</v>
      </c>
      <c r="V99" s="364">
        <f>$H99*'New vehicle sales'!Q$44</f>
        <v>3.4200969578095952</v>
      </c>
      <c r="W99" s="364">
        <f>$H99*'New vehicle sales'!R$44</f>
        <v>0.93056187019161551</v>
      </c>
      <c r="X99" s="364">
        <f>$H99*'New vehicle sales'!S$44</f>
        <v>1.2278739527475044</v>
      </c>
      <c r="Y99" s="364">
        <f>$H99*'New vehicle sales'!T$44</f>
        <v>1.005192293355649</v>
      </c>
      <c r="Z99" s="364">
        <f>$H99*'New vehicle sales'!U$44</f>
        <v>0.73191491148951038</v>
      </c>
      <c r="AA99" s="364">
        <f>$H99*'New vehicle sales'!V$44</f>
        <v>1.6257789752544423</v>
      </c>
      <c r="AB99" s="364">
        <f>$H99*'New vehicle sales'!W$44</f>
        <v>0.20187888568869536</v>
      </c>
      <c r="AC99" s="364">
        <f>$H99*'New vehicle sales'!X$44</f>
        <v>0.82220096537806042</v>
      </c>
      <c r="AD99" s="364">
        <f>$H99*'New vehicle sales'!Y$44</f>
        <v>0.40663059536547097</v>
      </c>
      <c r="AE99" s="364">
        <f>$H99*'New vehicle sales'!Z$44</f>
        <v>0.41287394749746131</v>
      </c>
      <c r="AF99" s="364">
        <f>$H99*'New vehicle sales'!AA$44</f>
        <v>0.47991280727194036</v>
      </c>
      <c r="AG99" s="364">
        <f>$H99*'New vehicle sales'!AB$44</f>
        <v>1.0029179743650851</v>
      </c>
      <c r="AH99" s="364">
        <f>$H99*'New vehicle sales'!AC$44</f>
        <v>0.38673502923749387</v>
      </c>
      <c r="AI99" t="str">
        <f t="shared" si="13"/>
        <v>T-CAR-HEV_GSL21</v>
      </c>
      <c r="AJ99" t="s">
        <v>221</v>
      </c>
    </row>
    <row r="100" spans="1:36">
      <c r="A100" t="str">
        <f t="shared" si="12"/>
        <v>T-CAR-BEV100_ELC21</v>
      </c>
      <c r="B100" t="s">
        <v>389</v>
      </c>
      <c r="E100" t="s">
        <v>223</v>
      </c>
      <c r="F100" t="s">
        <v>222</v>
      </c>
      <c r="G100">
        <v>2023</v>
      </c>
      <c r="H100" s="384">
        <f>SUMIFS('New vehicle sales'!$G$186:$G$215,'New vehicle sales'!$C$186:$C$215,'TRA-CAPs'!G100,'New vehicle sales'!$E$186:$E$215,B100)/1000</f>
        <v>23</v>
      </c>
      <c r="I100" s="364">
        <f>$H100*'New vehicle sales'!D$44</f>
        <v>0.27498385611519838</v>
      </c>
      <c r="J100" s="364">
        <f>$H100*'New vehicle sales'!E$44</f>
        <v>6.5077983101158958</v>
      </c>
      <c r="K100" s="364">
        <f>$H100*'New vehicle sales'!F$44</f>
        <v>1.0747032937725021</v>
      </c>
      <c r="L100" s="364">
        <f>$H100*'New vehicle sales'!G$44</f>
        <v>0.47929456210959326</v>
      </c>
      <c r="M100" s="364">
        <f>$H100*'New vehicle sales'!H$44</f>
        <v>0.40908992590088095</v>
      </c>
      <c r="N100" s="364">
        <f>$H100*'New vehicle sales'!I$44</f>
        <v>0.19741823844229087</v>
      </c>
      <c r="O100" s="364">
        <f>$H100*'New vehicle sales'!J$44</f>
        <v>0.62251491799956493</v>
      </c>
      <c r="P100" s="364">
        <f>$H100*'New vehicle sales'!K$44</f>
        <v>0.94207038628772477</v>
      </c>
      <c r="Q100" s="364">
        <f>$H100*'New vehicle sales'!L$44</f>
        <v>0.37655477423236455</v>
      </c>
      <c r="R100" s="364">
        <f>$H100*'New vehicle sales'!M$44</f>
        <v>0.4287626801683791</v>
      </c>
      <c r="S100" s="364">
        <f>$H100*'New vehicle sales'!N$44</f>
        <v>0.72316329841354121</v>
      </c>
      <c r="T100" s="364">
        <f>$H100*'New vehicle sales'!O$44</f>
        <v>0.68791849411942541</v>
      </c>
      <c r="U100" s="364">
        <f>$H100*'New vehicle sales'!P$44</f>
        <v>0.57389090198903114</v>
      </c>
      <c r="V100" s="364">
        <f>$H100*'New vehicle sales'!Q$44</f>
        <v>2.6220743343206898</v>
      </c>
      <c r="W100" s="364">
        <f>$H100*'New vehicle sales'!R$44</f>
        <v>0.71343076714690523</v>
      </c>
      <c r="X100" s="364">
        <f>$H100*'New vehicle sales'!S$44</f>
        <v>0.94137003043975342</v>
      </c>
      <c r="Y100" s="364">
        <f>$H100*'New vehicle sales'!T$44</f>
        <v>0.77064742490599747</v>
      </c>
      <c r="Z100" s="364">
        <f>$H100*'New vehicle sales'!U$44</f>
        <v>0.56113476547529129</v>
      </c>
      <c r="AA100" s="364">
        <f>$H100*'New vehicle sales'!V$44</f>
        <v>1.2464305476950723</v>
      </c>
      <c r="AB100" s="364">
        <f>$H100*'New vehicle sales'!W$44</f>
        <v>0.15477381236133311</v>
      </c>
      <c r="AC100" s="364">
        <f>$H100*'New vehicle sales'!X$44</f>
        <v>0.63035407345651295</v>
      </c>
      <c r="AD100" s="364">
        <f>$H100*'New vehicle sales'!Y$44</f>
        <v>0.31175012311352773</v>
      </c>
      <c r="AE100" s="364">
        <f>$H100*'New vehicle sales'!Z$44</f>
        <v>0.31653669308138699</v>
      </c>
      <c r="AF100" s="364">
        <f>$H100*'New vehicle sales'!AA$44</f>
        <v>0.36793315224182094</v>
      </c>
      <c r="AG100" s="364">
        <f>$H100*'New vehicle sales'!AB$44</f>
        <v>0.76890378034656526</v>
      </c>
      <c r="AH100" s="364">
        <f>$H100*'New vehicle sales'!AC$44</f>
        <v>0.29649685574874529</v>
      </c>
      <c r="AI100" t="str">
        <f t="shared" si="13"/>
        <v>T-CAR-BEV100_ELC21</v>
      </c>
      <c r="AJ100" t="s">
        <v>221</v>
      </c>
    </row>
    <row r="101" spans="1:36">
      <c r="A101" t="str">
        <f t="shared" si="12"/>
        <v>T-CAR-PHEV40_GSL21</v>
      </c>
      <c r="E101" t="s">
        <v>223</v>
      </c>
      <c r="F101" t="s">
        <v>222</v>
      </c>
      <c r="G101">
        <v>2023</v>
      </c>
      <c r="H101" s="384">
        <f>SUMIFS('New vehicle sales'!$G$186:$G$215,'New vehicle sales'!$C$186:$C$215,'TRA-CAPs'!G101,'New vehicle sales'!$E$186:$E$215,B101)/1000</f>
        <v>0</v>
      </c>
      <c r="I101" s="364">
        <f>$H101*'New vehicle sales'!D$44</f>
        <v>0</v>
      </c>
      <c r="J101" s="364">
        <f>$H101*'New vehicle sales'!E$44</f>
        <v>0</v>
      </c>
      <c r="K101" s="364">
        <f>$H101*'New vehicle sales'!F$44</f>
        <v>0</v>
      </c>
      <c r="L101" s="364">
        <f>$H101*'New vehicle sales'!G$44</f>
        <v>0</v>
      </c>
      <c r="M101" s="364">
        <f>$H101*'New vehicle sales'!H$44</f>
        <v>0</v>
      </c>
      <c r="N101" s="364">
        <f>$H101*'New vehicle sales'!I$44</f>
        <v>0</v>
      </c>
      <c r="O101" s="364">
        <f>$H101*'New vehicle sales'!J$44</f>
        <v>0</v>
      </c>
      <c r="P101" s="364">
        <f>$H101*'New vehicle sales'!K$44</f>
        <v>0</v>
      </c>
      <c r="Q101" s="364">
        <f>$H101*'New vehicle sales'!L$44</f>
        <v>0</v>
      </c>
      <c r="R101" s="364">
        <f>$H101*'New vehicle sales'!M$44</f>
        <v>0</v>
      </c>
      <c r="S101" s="364">
        <f>$H101*'New vehicle sales'!N$44</f>
        <v>0</v>
      </c>
      <c r="T101" s="364">
        <f>$H101*'New vehicle sales'!O$44</f>
        <v>0</v>
      </c>
      <c r="U101" s="364">
        <f>$H101*'New vehicle sales'!P$44</f>
        <v>0</v>
      </c>
      <c r="V101" s="364">
        <f>$H101*'New vehicle sales'!Q$44</f>
        <v>0</v>
      </c>
      <c r="W101" s="364">
        <f>$H101*'New vehicle sales'!R$44</f>
        <v>0</v>
      </c>
      <c r="X101" s="364">
        <f>$H101*'New vehicle sales'!S$44</f>
        <v>0</v>
      </c>
      <c r="Y101" s="364">
        <f>$H101*'New vehicle sales'!T$44</f>
        <v>0</v>
      </c>
      <c r="Z101" s="364">
        <f>$H101*'New vehicle sales'!U$44</f>
        <v>0</v>
      </c>
      <c r="AA101" s="364">
        <f>$H101*'New vehicle sales'!V$44</f>
        <v>0</v>
      </c>
      <c r="AB101" s="364">
        <f>$H101*'New vehicle sales'!W$44</f>
        <v>0</v>
      </c>
      <c r="AC101" s="364">
        <f>$H101*'New vehicle sales'!X$44</f>
        <v>0</v>
      </c>
      <c r="AD101" s="364">
        <f>$H101*'New vehicle sales'!Y$44</f>
        <v>0</v>
      </c>
      <c r="AE101" s="364">
        <f>$H101*'New vehicle sales'!Z$44</f>
        <v>0</v>
      </c>
      <c r="AF101" s="364">
        <f>$H101*'New vehicle sales'!AA$44</f>
        <v>0</v>
      </c>
      <c r="AG101" s="364">
        <f>$H101*'New vehicle sales'!AB$44</f>
        <v>0</v>
      </c>
      <c r="AH101" s="364">
        <f>$H101*'New vehicle sales'!AC$44</f>
        <v>0</v>
      </c>
      <c r="AI101" t="str">
        <f t="shared" si="13"/>
        <v>T-CAR-PHEV40_GSL21</v>
      </c>
      <c r="AJ101" t="s">
        <v>221</v>
      </c>
    </row>
    <row r="102" spans="1:36">
      <c r="A102" t="str">
        <f t="shared" si="12"/>
        <v>T-CAR-HEV_DST21</v>
      </c>
      <c r="E102" t="s">
        <v>223</v>
      </c>
      <c r="F102" t="s">
        <v>222</v>
      </c>
      <c r="G102">
        <v>2023</v>
      </c>
      <c r="H102" s="384">
        <f>SUMIFS('New vehicle sales'!$G$186:$G$215,'New vehicle sales'!$C$186:$C$215,'TRA-CAPs'!G102,'New vehicle sales'!$E$186:$E$215,B102)/1000</f>
        <v>0</v>
      </c>
      <c r="I102" s="364">
        <f>$H102*'New vehicle sales'!D$44</f>
        <v>0</v>
      </c>
      <c r="J102" s="364">
        <f>$H102*'New vehicle sales'!E$44</f>
        <v>0</v>
      </c>
      <c r="K102" s="364">
        <f>$H102*'New vehicle sales'!F$44</f>
        <v>0</v>
      </c>
      <c r="L102" s="364">
        <f>$H102*'New vehicle sales'!G$44</f>
        <v>0</v>
      </c>
      <c r="M102" s="364">
        <f>$H102*'New vehicle sales'!H$44</f>
        <v>0</v>
      </c>
      <c r="N102" s="364">
        <f>$H102*'New vehicle sales'!I$44</f>
        <v>0</v>
      </c>
      <c r="O102" s="364">
        <f>$H102*'New vehicle sales'!J$44</f>
        <v>0</v>
      </c>
      <c r="P102" s="364">
        <f>$H102*'New vehicle sales'!K$44</f>
        <v>0</v>
      </c>
      <c r="Q102" s="364">
        <f>$H102*'New vehicle sales'!L$44</f>
        <v>0</v>
      </c>
      <c r="R102" s="364">
        <f>$H102*'New vehicle sales'!M$44</f>
        <v>0</v>
      </c>
      <c r="S102" s="364">
        <f>$H102*'New vehicle sales'!N$44</f>
        <v>0</v>
      </c>
      <c r="T102" s="364">
        <f>$H102*'New vehicle sales'!O$44</f>
        <v>0</v>
      </c>
      <c r="U102" s="364">
        <f>$H102*'New vehicle sales'!P$44</f>
        <v>0</v>
      </c>
      <c r="V102" s="364">
        <f>$H102*'New vehicle sales'!Q$44</f>
        <v>0</v>
      </c>
      <c r="W102" s="364">
        <f>$H102*'New vehicle sales'!R$44</f>
        <v>0</v>
      </c>
      <c r="X102" s="364">
        <f>$H102*'New vehicle sales'!S$44</f>
        <v>0</v>
      </c>
      <c r="Y102" s="364">
        <f>$H102*'New vehicle sales'!T$44</f>
        <v>0</v>
      </c>
      <c r="Z102" s="364">
        <f>$H102*'New vehicle sales'!U$44</f>
        <v>0</v>
      </c>
      <c r="AA102" s="364">
        <f>$H102*'New vehicle sales'!V$44</f>
        <v>0</v>
      </c>
      <c r="AB102" s="364">
        <f>$H102*'New vehicle sales'!W$44</f>
        <v>0</v>
      </c>
      <c r="AC102" s="364">
        <f>$H102*'New vehicle sales'!X$44</f>
        <v>0</v>
      </c>
      <c r="AD102" s="364">
        <f>$H102*'New vehicle sales'!Y$44</f>
        <v>0</v>
      </c>
      <c r="AE102" s="364">
        <f>$H102*'New vehicle sales'!Z$44</f>
        <v>0</v>
      </c>
      <c r="AF102" s="364">
        <f>$H102*'New vehicle sales'!AA$44</f>
        <v>0</v>
      </c>
      <c r="AG102" s="364">
        <f>$H102*'New vehicle sales'!AB$44</f>
        <v>0</v>
      </c>
      <c r="AH102" s="364">
        <f>$H102*'New vehicle sales'!AC$44</f>
        <v>0</v>
      </c>
      <c r="AI102" t="str">
        <f t="shared" si="13"/>
        <v>T-CAR-HEV_DST21</v>
      </c>
      <c r="AJ102" t="s">
        <v>221</v>
      </c>
    </row>
    <row r="103" spans="1:36">
      <c r="A103" t="str">
        <f t="shared" si="12"/>
        <v>T-CAR-PHEV40_DST21</v>
      </c>
      <c r="E103" t="s">
        <v>223</v>
      </c>
      <c r="F103" t="s">
        <v>222</v>
      </c>
      <c r="G103">
        <v>2023</v>
      </c>
      <c r="H103" s="384">
        <f>SUMIFS('New vehicle sales'!$G$186:$G$215,'New vehicle sales'!$C$186:$C$215,'TRA-CAPs'!G103,'New vehicle sales'!$E$186:$E$215,B103)/1000</f>
        <v>0</v>
      </c>
      <c r="I103" s="364">
        <f>$H103*'New vehicle sales'!D$44</f>
        <v>0</v>
      </c>
      <c r="J103" s="364">
        <f>$H103*'New vehicle sales'!E$44</f>
        <v>0</v>
      </c>
      <c r="K103" s="364">
        <f>$H103*'New vehicle sales'!F$44</f>
        <v>0</v>
      </c>
      <c r="L103" s="364">
        <f>$H103*'New vehicle sales'!G$44</f>
        <v>0</v>
      </c>
      <c r="M103" s="364">
        <f>$H103*'New vehicle sales'!H$44</f>
        <v>0</v>
      </c>
      <c r="N103" s="364">
        <f>$H103*'New vehicle sales'!I$44</f>
        <v>0</v>
      </c>
      <c r="O103" s="364">
        <f>$H103*'New vehicle sales'!J$44</f>
        <v>0</v>
      </c>
      <c r="P103" s="364">
        <f>$H103*'New vehicle sales'!K$44</f>
        <v>0</v>
      </c>
      <c r="Q103" s="364">
        <f>$H103*'New vehicle sales'!L$44</f>
        <v>0</v>
      </c>
      <c r="R103" s="364">
        <f>$H103*'New vehicle sales'!M$44</f>
        <v>0</v>
      </c>
      <c r="S103" s="364">
        <f>$H103*'New vehicle sales'!N$44</f>
        <v>0</v>
      </c>
      <c r="T103" s="364">
        <f>$H103*'New vehicle sales'!O$44</f>
        <v>0</v>
      </c>
      <c r="U103" s="364">
        <f>$H103*'New vehicle sales'!P$44</f>
        <v>0</v>
      </c>
      <c r="V103" s="364">
        <f>$H103*'New vehicle sales'!Q$44</f>
        <v>0</v>
      </c>
      <c r="W103" s="364">
        <f>$H103*'New vehicle sales'!R$44</f>
        <v>0</v>
      </c>
      <c r="X103" s="364">
        <f>$H103*'New vehicle sales'!S$44</f>
        <v>0</v>
      </c>
      <c r="Y103" s="364">
        <f>$H103*'New vehicle sales'!T$44</f>
        <v>0</v>
      </c>
      <c r="Z103" s="364">
        <f>$H103*'New vehicle sales'!U$44</f>
        <v>0</v>
      </c>
      <c r="AA103" s="364">
        <f>$H103*'New vehicle sales'!V$44</f>
        <v>0</v>
      </c>
      <c r="AB103" s="364">
        <f>$H103*'New vehicle sales'!W$44</f>
        <v>0</v>
      </c>
      <c r="AC103" s="364">
        <f>$H103*'New vehicle sales'!X$44</f>
        <v>0</v>
      </c>
      <c r="AD103" s="364">
        <f>$H103*'New vehicle sales'!Y$44</f>
        <v>0</v>
      </c>
      <c r="AE103" s="364">
        <f>$H103*'New vehicle sales'!Z$44</f>
        <v>0</v>
      </c>
      <c r="AF103" s="364">
        <f>$H103*'New vehicle sales'!AA$44</f>
        <v>0</v>
      </c>
      <c r="AG103" s="364">
        <f>$H103*'New vehicle sales'!AB$44</f>
        <v>0</v>
      </c>
      <c r="AH103" s="364">
        <f>$H103*'New vehicle sales'!AC$44</f>
        <v>0</v>
      </c>
      <c r="AI103" t="str">
        <f t="shared" si="13"/>
        <v>T-CAR-PHEV40_DST21</v>
      </c>
      <c r="AJ103" t="s">
        <v>221</v>
      </c>
    </row>
    <row r="104" spans="1:36">
      <c r="A104" t="str">
        <f t="shared" si="12"/>
        <v>T-LGT-ICE_DST61</v>
      </c>
      <c r="E104" t="s">
        <v>223</v>
      </c>
      <c r="F104" t="s">
        <v>222</v>
      </c>
      <c r="G104">
        <v>2023</v>
      </c>
      <c r="H104" s="384">
        <f>'New vehicle sales'!G19/1000</f>
        <v>21.011182244768548</v>
      </c>
      <c r="I104" s="364">
        <f>$H104*'New vehicle sales'!D$44</f>
        <v>0.25120590935676718</v>
      </c>
      <c r="J104" s="364">
        <f>$H104*'New vehicle sales'!E$44</f>
        <v>5.9450667959148644</v>
      </c>
      <c r="K104" s="364">
        <f>$H104*'New vehicle sales'!F$44</f>
        <v>0.98177333758726404</v>
      </c>
      <c r="L104" s="364">
        <f>$H104*'New vehicle sales'!G$44</f>
        <v>0.43784979971353055</v>
      </c>
      <c r="M104" s="364">
        <f>$H104*'New vehicle sales'!H$44</f>
        <v>0.37371578206966399</v>
      </c>
      <c r="N104" s="364">
        <f>$H104*'New vehicle sales'!I$44</f>
        <v>0.18034741679791938</v>
      </c>
      <c r="O104" s="364">
        <f>$H104*'New vehicle sales'!J$44</f>
        <v>0.56868584313808723</v>
      </c>
      <c r="P104" s="364">
        <f>$H104*'New vehicle sales'!K$44</f>
        <v>0.86060924233438651</v>
      </c>
      <c r="Q104" s="364">
        <f>$H104*'New vehicle sales'!L$44</f>
        <v>0.34399395593625598</v>
      </c>
      <c r="R104" s="364">
        <f>$H104*'New vehicle sales'!M$44</f>
        <v>0.39168742664231398</v>
      </c>
      <c r="S104" s="364">
        <f>$H104*'New vehicle sales'!N$44</f>
        <v>0.66063112416064596</v>
      </c>
      <c r="T104" s="364">
        <f>$H104*'New vehicle sales'!O$44</f>
        <v>0.62843394997782553</v>
      </c>
      <c r="U104" s="364">
        <f>$H104*'New vehicle sales'!P$44</f>
        <v>0.52426636218722344</v>
      </c>
      <c r="V104" s="364">
        <f>$H104*'New vehicle sales'!Q$44</f>
        <v>2.3953426825105297</v>
      </c>
      <c r="W104" s="364">
        <f>$H104*'New vehicle sales'!R$44</f>
        <v>0.65174016815428959</v>
      </c>
      <c r="X104" s="364">
        <f>$H104*'New vehicle sales'!S$44</f>
        <v>0.8599694464927381</v>
      </c>
      <c r="Y104" s="364">
        <f>$H104*'New vehicle sales'!T$44</f>
        <v>0.70400928222441295</v>
      </c>
      <c r="Z104" s="364">
        <f>$H104*'New vehicle sales'!U$44</f>
        <v>0.51261325309899142</v>
      </c>
      <c r="AA104" s="364">
        <f>$H104*'New vehicle sales'!V$44</f>
        <v>1.1386512779594713</v>
      </c>
      <c r="AB104" s="364">
        <f>$H104*'New vehicle sales'!W$44</f>
        <v>0.14139046861919918</v>
      </c>
      <c r="AC104" s="364">
        <f>$H104*'New vehicle sales'!X$44</f>
        <v>0.57584714417943539</v>
      </c>
      <c r="AD104" s="364">
        <f>$H104*'New vehicle sales'!Y$44</f>
        <v>0.28479298485075494</v>
      </c>
      <c r="AE104" s="364">
        <f>$H104*'New vehicle sales'!Z$44</f>
        <v>0.28916565849953868</v>
      </c>
      <c r="AF104" s="364">
        <f>$H104*'New vehicle sales'!AA$44</f>
        <v>0.33611784850630744</v>
      </c>
      <c r="AG104" s="364">
        <f>$H104*'New vehicle sales'!AB$44</f>
        <v>0.70241641119796383</v>
      </c>
      <c r="AH104" s="364">
        <f>$H104*'New vehicle sales'!AC$44</f>
        <v>0.27085867265816255</v>
      </c>
      <c r="AI104" t="str">
        <f t="shared" si="13"/>
        <v>T-LGT-ICE_DST61</v>
      </c>
      <c r="AJ104" t="s">
        <v>221</v>
      </c>
    </row>
    <row r="105" spans="1:36">
      <c r="A105" t="str">
        <f t="shared" si="12"/>
        <v>T-LGT-HEV_DST61</v>
      </c>
      <c r="E105" t="s">
        <v>223</v>
      </c>
      <c r="F105" t="s">
        <v>222</v>
      </c>
      <c r="G105">
        <v>2023</v>
      </c>
      <c r="H105" s="384">
        <f>'New vehicle sales'!G20/1000</f>
        <v>0.124</v>
      </c>
      <c r="I105" s="364">
        <f>$H105*'New vehicle sales'!D$44</f>
        <v>1.4825216590558521E-3</v>
      </c>
      <c r="J105" s="364">
        <f>$H105*'New vehicle sales'!E$44</f>
        <v>3.5085521324103093E-2</v>
      </c>
      <c r="K105" s="364">
        <f>$H105*'New vehicle sales'!F$44</f>
        <v>5.794052540338707E-3</v>
      </c>
      <c r="L105" s="364">
        <f>$H105*'New vehicle sales'!G$44</f>
        <v>2.5840228565908508E-3</v>
      </c>
      <c r="M105" s="364">
        <f>$H105*'New vehicle sales'!H$44</f>
        <v>2.2055282961612713E-3</v>
      </c>
      <c r="N105" s="364">
        <f>$H105*'New vehicle sales'!I$44</f>
        <v>1.0643418072540899E-3</v>
      </c>
      <c r="O105" s="364">
        <f>$H105*'New vehicle sales'!J$44</f>
        <v>3.3561673839976542E-3</v>
      </c>
      <c r="P105" s="364">
        <f>$H105*'New vehicle sales'!K$44</f>
        <v>5.078988169551212E-3</v>
      </c>
      <c r="Q105" s="364">
        <f>$H105*'New vehicle sales'!L$44</f>
        <v>2.0301213915136177E-3</v>
      </c>
      <c r="R105" s="364">
        <f>$H105*'New vehicle sales'!M$44</f>
        <v>2.3115901017773479E-3</v>
      </c>
      <c r="S105" s="364">
        <f>$H105*'New vehicle sales'!N$44</f>
        <v>3.8987934349251786E-3</v>
      </c>
      <c r="T105" s="364">
        <f>$H105*'New vehicle sales'!O$44</f>
        <v>3.7087779682960322E-3</v>
      </c>
      <c r="U105" s="364">
        <f>$H105*'New vehicle sales'!P$44</f>
        <v>3.0940205150712984E-3</v>
      </c>
      <c r="V105" s="364">
        <f>$H105*'New vehicle sales'!Q$44</f>
        <v>1.4136400758946328E-2</v>
      </c>
      <c r="W105" s="364">
        <f>$H105*'New vehicle sales'!R$44</f>
        <v>3.8463223967920108E-3</v>
      </c>
      <c r="X105" s="364">
        <f>$H105*'New vehicle sales'!S$44</f>
        <v>5.0752123380230184E-3</v>
      </c>
      <c r="Y105" s="364">
        <f>$H105*'New vehicle sales'!T$44</f>
        <v>4.1547948125366819E-3</v>
      </c>
      <c r="Z105" s="364">
        <f>$H105*'New vehicle sales'!U$44</f>
        <v>3.0252483008233093E-3</v>
      </c>
      <c r="AA105" s="364">
        <f>$H105*'New vehicle sales'!V$44</f>
        <v>6.7198864310516948E-3</v>
      </c>
      <c r="AB105" s="364">
        <f>$H105*'New vehicle sales'!W$44</f>
        <v>8.3443272751327409E-4</v>
      </c>
      <c r="AC105" s="364">
        <f>$H105*'New vehicle sales'!X$44</f>
        <v>3.3984306568959829E-3</v>
      </c>
      <c r="AD105" s="364">
        <f>$H105*'New vehicle sales'!Y$44</f>
        <v>1.68073979417728E-3</v>
      </c>
      <c r="AE105" s="364">
        <f>$H105*'New vehicle sales'!Z$44</f>
        <v>1.7065456496561733E-3</v>
      </c>
      <c r="AF105" s="364">
        <f>$H105*'New vehicle sales'!AA$44</f>
        <v>1.983639603390687E-3</v>
      </c>
      <c r="AG105" s="364">
        <f>$H105*'New vehicle sales'!AB$44</f>
        <v>4.1453942940423514E-3</v>
      </c>
      <c r="AH105" s="364">
        <f>$H105*'New vehicle sales'!AC$44</f>
        <v>1.5985047875149746E-3</v>
      </c>
      <c r="AI105" t="str">
        <f t="shared" si="13"/>
        <v>T-LGT-HEV_DST61</v>
      </c>
      <c r="AJ105" t="s">
        <v>221</v>
      </c>
    </row>
    <row r="106" spans="1:36">
      <c r="A106" t="str">
        <f t="shared" si="12"/>
        <v>T-LGT-BEV_ELC61</v>
      </c>
      <c r="E106" t="s">
        <v>223</v>
      </c>
      <c r="F106" t="s">
        <v>222</v>
      </c>
      <c r="G106">
        <v>2023</v>
      </c>
      <c r="H106" s="384">
        <f>'New vehicle sales'!G21/1000</f>
        <v>0.89400000000000002</v>
      </c>
      <c r="I106" s="364">
        <f>$H106*'New vehicle sales'!D$44</f>
        <v>1.0688502928999449E-2</v>
      </c>
      <c r="J106" s="364">
        <f>$H106*'New vehicle sales'!E$44</f>
        <v>0.25295529083667873</v>
      </c>
      <c r="K106" s="364">
        <f>$H106*'New vehicle sales'!F$44</f>
        <v>4.1773249766635517E-2</v>
      </c>
      <c r="L106" s="364">
        <f>$H106*'New vehicle sales'!G$44</f>
        <v>1.8629971240259842E-2</v>
      </c>
      <c r="M106" s="364">
        <f>$H106*'New vehicle sales'!H$44</f>
        <v>1.5901147554582069E-2</v>
      </c>
      <c r="N106" s="364">
        <f>$H106*'New vehicle sales'!I$44</f>
        <v>7.6735610942351325E-3</v>
      </c>
      <c r="O106" s="364">
        <f>$H106*'New vehicle sales'!J$44</f>
        <v>2.4196884203983089E-2</v>
      </c>
      <c r="P106" s="364">
        <f>$H106*'New vehicle sales'!K$44</f>
        <v>3.6617866319183734E-2</v>
      </c>
      <c r="Q106" s="364">
        <f>$H106*'New vehicle sales'!L$44</f>
        <v>1.4636520354944954E-2</v>
      </c>
      <c r="R106" s="364">
        <f>$H106*'New vehicle sales'!M$44</f>
        <v>1.66658189595883E-2</v>
      </c>
      <c r="S106" s="364">
        <f>$H106*'New vehicle sales'!N$44</f>
        <v>2.810904299050895E-2</v>
      </c>
      <c r="T106" s="364">
        <f>$H106*'New vehicle sales'!O$44</f>
        <v>2.6739092771424621E-2</v>
      </c>
      <c r="U106" s="364">
        <f>$H106*'New vehicle sales'!P$44</f>
        <v>2.2306889842530167E-2</v>
      </c>
      <c r="V106" s="364">
        <f>$H106*'New vehicle sales'!Q$44</f>
        <v>0.10191888934272594</v>
      </c>
      <c r="W106" s="364">
        <f>$H106*'New vehicle sales'!R$44</f>
        <v>2.7730743731710143E-2</v>
      </c>
      <c r="X106" s="364">
        <f>$H106*'New vehicle sales'!S$44</f>
        <v>3.6590643791875634E-2</v>
      </c>
      <c r="Y106" s="364">
        <f>$H106*'New vehicle sales'!T$44</f>
        <v>2.9954730341998338E-2</v>
      </c>
      <c r="Z106" s="364">
        <f>$H106*'New vehicle sales'!U$44</f>
        <v>2.181106436238741E-2</v>
      </c>
      <c r="AA106" s="364">
        <f>$H106*'New vehicle sales'!V$44</f>
        <v>4.8448213462582379E-2</v>
      </c>
      <c r="AB106" s="364">
        <f>$H106*'New vehicle sales'!W$44</f>
        <v>6.0159907935231219E-3</v>
      </c>
      <c r="AC106" s="364">
        <f>$H106*'New vehicle sales'!X$44</f>
        <v>2.4501588768266198E-2</v>
      </c>
      <c r="AD106" s="364">
        <f>$H106*'New vehicle sales'!Y$44</f>
        <v>1.2117591741891035E-2</v>
      </c>
      <c r="AE106" s="364">
        <f>$H106*'New vehicle sales'!Z$44</f>
        <v>1.2303643635424346E-2</v>
      </c>
      <c r="AF106" s="364">
        <f>$H106*'New vehicle sales'!AA$44</f>
        <v>1.4301401656703823E-2</v>
      </c>
      <c r="AG106" s="364">
        <f>$H106*'New vehicle sales'!AB$44</f>
        <v>2.9886955636079536E-2</v>
      </c>
      <c r="AH106" s="364">
        <f>$H106*'New vehicle sales'!AC$44</f>
        <v>1.1524703871277317E-2</v>
      </c>
      <c r="AI106" t="str">
        <f t="shared" si="13"/>
        <v>T-LGT-BEV_ELC61</v>
      </c>
      <c r="AJ106" t="s">
        <v>221</v>
      </c>
    </row>
    <row r="107" spans="1:36">
      <c r="A107" t="str">
        <f t="shared" si="12"/>
        <v>T-HGT-ICE_DST81</v>
      </c>
      <c r="D107" s="30"/>
      <c r="E107" s="30" t="s">
        <v>223</v>
      </c>
      <c r="F107" s="30" t="s">
        <v>222</v>
      </c>
      <c r="G107" s="30">
        <v>2023</v>
      </c>
      <c r="H107" s="389">
        <f>'New vehicle sales'!G34/1000</f>
        <v>1.9767000000000003</v>
      </c>
      <c r="I107" s="365">
        <f>$H107*'New vehicle sales'!D$44</f>
        <v>2.3633069060126639E-2</v>
      </c>
      <c r="J107" s="365">
        <f>$H107*'New vehicle sales'!E$44</f>
        <v>0.55930282259156927</v>
      </c>
      <c r="K107" s="365">
        <f>$H107*'New vehicle sales'!F$44</f>
        <v>9.2363739165221975E-2</v>
      </c>
      <c r="L107" s="365">
        <f>$H107*'New vehicle sales'!G$44</f>
        <v>4.1192241779218833E-2</v>
      </c>
      <c r="M107" s="365">
        <f>$H107*'New vehicle sales'!H$44</f>
        <v>3.5158611153403109E-2</v>
      </c>
      <c r="N107" s="365">
        <f>$H107*'New vehicle sales'!I$44</f>
        <v>1.6966810083864192E-2</v>
      </c>
      <c r="O107" s="365">
        <f>$H107*'New vehicle sales'!J$44</f>
        <v>5.3501097322162613E-2</v>
      </c>
      <c r="P107" s="365">
        <f>$H107*'New vehicle sales'!K$44</f>
        <v>8.0964805764128081E-2</v>
      </c>
      <c r="Q107" s="365">
        <f>$H107*'New vehicle sales'!L$44</f>
        <v>3.2362427053265877E-2</v>
      </c>
      <c r="R107" s="365">
        <f>$H107*'New vehicle sales'!M$44</f>
        <v>3.6849356082123266E-2</v>
      </c>
      <c r="S107" s="365">
        <f>$H107*'New vehicle sales'!N$44</f>
        <v>6.2151169216262923E-2</v>
      </c>
      <c r="T107" s="365">
        <f>$H107*'New vehicle sales'!O$44</f>
        <v>5.9122108144602975E-2</v>
      </c>
      <c r="U107" s="365">
        <f>$H107*'New vehicle sales'!P$44</f>
        <v>4.9322180259205137E-2</v>
      </c>
      <c r="V107" s="365">
        <f>$H107*'New vehicle sales'!Q$44</f>
        <v>0.22535018855007427</v>
      </c>
      <c r="W107" s="365">
        <f>$H107*'New vehicle sales'!R$44</f>
        <v>6.1314721626925556E-2</v>
      </c>
      <c r="X107" s="365">
        <f>$H107*'New vehicle sales'!S$44</f>
        <v>8.0904614746533085E-2</v>
      </c>
      <c r="Y107" s="365">
        <f>$H107*'New vehicle sales'!T$44</f>
        <v>6.6232120209203715E-2</v>
      </c>
      <c r="Z107" s="365">
        <f>$H107*'New vehicle sales'!U$44</f>
        <v>4.8225873518043846E-2</v>
      </c>
      <c r="AA107" s="365">
        <f>$H107*'New vehicle sales'!V$44</f>
        <v>0.10712257667951522</v>
      </c>
      <c r="AB107" s="365">
        <f>$H107*'New vehicle sales'!W$44</f>
        <v>1.330179977802814E-2</v>
      </c>
      <c r="AC107" s="365">
        <f>$H107*'New vehicle sales'!X$44</f>
        <v>5.4174821608760408E-2</v>
      </c>
      <c r="AD107" s="365">
        <f>$H107*'New vehicle sales'!Y$44</f>
        <v>2.6792889928630888E-2</v>
      </c>
      <c r="AE107" s="365">
        <f>$H107*'New vehicle sales'!Z$44</f>
        <v>2.720426440060773E-2</v>
      </c>
      <c r="AF107" s="365">
        <f>$H107*'New vehicle sales'!AA$44</f>
        <v>3.1621454871148154E-2</v>
      </c>
      <c r="AG107" s="365">
        <f>$H107*'New vehicle sales'!AB$44</f>
        <v>6.6082265330915477E-2</v>
      </c>
      <c r="AH107" s="365">
        <f>$H107*'New vehicle sales'!AC$44</f>
        <v>2.5481971076458474E-2</v>
      </c>
      <c r="AI107" s="30" t="str">
        <f t="shared" si="13"/>
        <v>T-HGT-ICE_DST81</v>
      </c>
      <c r="AJ107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C9" sqref="C9"/>
    </sheetView>
  </sheetViews>
  <sheetFormatPr defaultRowHeight="14.5"/>
  <cols>
    <col min="2" max="2" width="14" bestFit="1" customWidth="1"/>
    <col min="3" max="3" width="21.7265625" bestFit="1" customWidth="1"/>
    <col min="11" max="11" width="10.5429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583</v>
      </c>
    </row>
    <row r="10" spans="2:4">
      <c r="B10" t="s">
        <v>475</v>
      </c>
      <c r="C10" t="s">
        <v>484</v>
      </c>
    </row>
    <row r="11" spans="2:4">
      <c r="B11" t="s">
        <v>485</v>
      </c>
    </row>
    <row r="12" spans="2:4">
      <c r="B12" t="s">
        <v>227</v>
      </c>
      <c r="C12" t="s">
        <v>486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304"/>
  <sheetViews>
    <sheetView zoomScaleNormal="100" workbookViewId="0">
      <selection activeCell="G35" sqref="G35"/>
    </sheetView>
  </sheetViews>
  <sheetFormatPr defaultRowHeight="14.5"/>
  <cols>
    <col min="2" max="2" width="37.1796875" bestFit="1" customWidth="1"/>
    <col min="3" max="3" width="11.7265625" customWidth="1"/>
    <col min="4" max="4" width="17.453125" customWidth="1"/>
    <col min="5" max="5" width="15.453125" customWidth="1"/>
    <col min="6" max="7" width="12" customWidth="1"/>
    <col min="8" max="8" width="11" customWidth="1"/>
  </cols>
  <sheetData>
    <row r="1" spans="1:4">
      <c r="A1" s="357" t="s">
        <v>403</v>
      </c>
    </row>
    <row r="2" spans="1:4" ht="15.5">
      <c r="A2" s="56" t="s">
        <v>402</v>
      </c>
    </row>
    <row r="4" spans="1:4" ht="15.5">
      <c r="A4" s="56" t="s">
        <v>401</v>
      </c>
    </row>
    <row r="5" spans="1:4" ht="15.5">
      <c r="A5" s="55" t="s">
        <v>393</v>
      </c>
      <c r="B5" s="55" t="s">
        <v>392</v>
      </c>
      <c r="C5" s="55">
        <v>2020</v>
      </c>
      <c r="D5" s="55">
        <v>2019</v>
      </c>
    </row>
    <row r="6" spans="1:4">
      <c r="A6">
        <v>1</v>
      </c>
      <c r="B6" t="s">
        <v>391</v>
      </c>
      <c r="C6">
        <v>38233</v>
      </c>
      <c r="D6" s="358">
        <v>54556</v>
      </c>
    </row>
    <row r="7" spans="1:4">
      <c r="A7">
        <v>2</v>
      </c>
      <c r="B7" t="s">
        <v>399</v>
      </c>
      <c r="C7">
        <v>32600</v>
      </c>
      <c r="D7" s="358">
        <v>47569</v>
      </c>
    </row>
    <row r="8" spans="1:4">
      <c r="A8">
        <v>3</v>
      </c>
      <c r="B8" t="s">
        <v>531</v>
      </c>
      <c r="C8">
        <v>10474</v>
      </c>
      <c r="D8" s="358">
        <v>10193</v>
      </c>
    </row>
    <row r="9" spans="1:4">
      <c r="A9">
        <v>4</v>
      </c>
      <c r="B9" t="s">
        <v>389</v>
      </c>
      <c r="C9">
        <v>4013</v>
      </c>
      <c r="D9" s="358">
        <v>3444</v>
      </c>
    </row>
    <row r="10" spans="1:4">
      <c r="A10">
        <v>5</v>
      </c>
      <c r="B10" t="s">
        <v>397</v>
      </c>
      <c r="C10">
        <v>2459</v>
      </c>
      <c r="D10" s="358">
        <v>1343</v>
      </c>
    </row>
    <row r="11" spans="1:4">
      <c r="A11">
        <v>6</v>
      </c>
      <c r="B11" t="s">
        <v>398</v>
      </c>
      <c r="C11">
        <v>512</v>
      </c>
      <c r="D11" s="358">
        <v>1</v>
      </c>
    </row>
    <row r="12" spans="1:4">
      <c r="A12">
        <v>7</v>
      </c>
      <c r="B12" t="s">
        <v>395</v>
      </c>
      <c r="C12">
        <v>33</v>
      </c>
      <c r="D12" s="358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7" ht="15.5">
      <c r="A17" s="56" t="s">
        <v>400</v>
      </c>
    </row>
    <row r="18" spans="1:7" ht="15.5">
      <c r="A18" s="55" t="s">
        <v>393</v>
      </c>
      <c r="B18" s="55" t="s">
        <v>392</v>
      </c>
      <c r="C18" s="55">
        <v>2019</v>
      </c>
      <c r="D18" s="55">
        <v>2020</v>
      </c>
      <c r="E18" s="55">
        <v>2021</v>
      </c>
      <c r="F18" s="55">
        <v>2022</v>
      </c>
      <c r="G18" s="55">
        <v>2023</v>
      </c>
    </row>
    <row r="19" spans="1:7">
      <c r="B19" t="s">
        <v>391</v>
      </c>
      <c r="C19" s="358">
        <v>24959</v>
      </c>
      <c r="D19">
        <v>20928</v>
      </c>
      <c r="E19" s="31">
        <f>G296*SUM(H256:H261)/H255</f>
        <v>25370.191214288232</v>
      </c>
      <c r="F19" s="31">
        <f>G301*SUM(H265:H270)/H264</f>
        <v>21011.182244768548</v>
      </c>
      <c r="G19" s="31">
        <f>F19</f>
        <v>21011.182244768548</v>
      </c>
    </row>
    <row r="20" spans="1:7">
      <c r="B20" t="s">
        <v>558</v>
      </c>
      <c r="C20" s="358">
        <f>G289</f>
        <v>5</v>
      </c>
      <c r="D20">
        <f>G294</f>
        <v>35</v>
      </c>
      <c r="E20">
        <f>G299</f>
        <v>184</v>
      </c>
      <c r="F20">
        <f>G304</f>
        <v>124</v>
      </c>
      <c r="G20">
        <f>F20</f>
        <v>124</v>
      </c>
    </row>
    <row r="21" spans="1:7">
      <c r="B21" t="s">
        <v>389</v>
      </c>
      <c r="C21" s="358">
        <v>327</v>
      </c>
      <c r="D21">
        <v>727</v>
      </c>
      <c r="E21">
        <f>G298</f>
        <v>894</v>
      </c>
      <c r="F21">
        <f>G303</f>
        <v>411</v>
      </c>
      <c r="G21">
        <f>E21</f>
        <v>894</v>
      </c>
    </row>
    <row r="22" spans="1:7">
      <c r="B22" t="s">
        <v>399</v>
      </c>
      <c r="C22" s="358">
        <v>44</v>
      </c>
      <c r="D22">
        <v>29</v>
      </c>
    </row>
    <row r="23" spans="1:7">
      <c r="B23" t="s">
        <v>398</v>
      </c>
    </row>
    <row r="24" spans="1:7">
      <c r="B24" t="s">
        <v>397</v>
      </c>
      <c r="C24" s="358">
        <v>1</v>
      </c>
      <c r="D24">
        <v>16</v>
      </c>
    </row>
    <row r="25" spans="1:7">
      <c r="B25" t="s">
        <v>390</v>
      </c>
      <c r="D25">
        <v>2</v>
      </c>
    </row>
    <row r="26" spans="1:7">
      <c r="B26" t="s">
        <v>396</v>
      </c>
      <c r="D26">
        <v>2</v>
      </c>
    </row>
    <row r="27" spans="1:7">
      <c r="B27" t="s">
        <v>395</v>
      </c>
      <c r="D27">
        <v>1</v>
      </c>
    </row>
    <row r="28" spans="1:7">
      <c r="A28" s="30"/>
      <c r="B28" s="30" t="s">
        <v>387</v>
      </c>
      <c r="C28" s="30">
        <f>SUM(C19:C27)</f>
        <v>25336</v>
      </c>
      <c r="D28" s="30">
        <f>SUM(D19:D27)</f>
        <v>21740</v>
      </c>
      <c r="E28" s="30"/>
      <c r="F28" s="30"/>
      <c r="G28" s="30"/>
    </row>
    <row r="32" spans="1:7" ht="15.5">
      <c r="A32" s="56" t="s">
        <v>394</v>
      </c>
    </row>
    <row r="33" spans="1:29" ht="15.5">
      <c r="A33" s="55" t="s">
        <v>393</v>
      </c>
      <c r="B33" s="55" t="s">
        <v>392</v>
      </c>
      <c r="C33" s="55">
        <v>2019</v>
      </c>
      <c r="D33" s="55">
        <v>2020</v>
      </c>
      <c r="E33" s="55">
        <v>2021</v>
      </c>
      <c r="F33" s="55">
        <v>2022</v>
      </c>
      <c r="G33" s="55">
        <v>2023</v>
      </c>
    </row>
    <row r="34" spans="1:29">
      <c r="A34">
        <v>1</v>
      </c>
      <c r="B34" t="s">
        <v>391</v>
      </c>
      <c r="C34">
        <f>H245</f>
        <v>1620</v>
      </c>
      <c r="D34">
        <f>H254</f>
        <v>1542</v>
      </c>
      <c r="E34">
        <f>H263</f>
        <v>1744</v>
      </c>
      <c r="F34">
        <f>H272</f>
        <v>1797</v>
      </c>
      <c r="G34" s="31">
        <f>1.1*F34</f>
        <v>1976.7000000000003</v>
      </c>
    </row>
    <row r="35" spans="1:29">
      <c r="A35">
        <v>2</v>
      </c>
      <c r="B35" t="s">
        <v>390</v>
      </c>
      <c r="C35">
        <v>9</v>
      </c>
      <c r="D35">
        <v>16</v>
      </c>
    </row>
    <row r="36" spans="1:29">
      <c r="A36">
        <v>3</v>
      </c>
      <c r="B36" t="s">
        <v>389</v>
      </c>
      <c r="D36">
        <v>6</v>
      </c>
    </row>
    <row r="37" spans="1:29">
      <c r="A37">
        <v>4</v>
      </c>
      <c r="B37" t="s">
        <v>388</v>
      </c>
      <c r="D37">
        <v>1</v>
      </c>
    </row>
    <row r="38" spans="1:29">
      <c r="A38" s="30"/>
      <c r="B38" s="30" t="s">
        <v>387</v>
      </c>
      <c r="C38" s="30">
        <f>SUM(C34:C37)</f>
        <v>1629</v>
      </c>
      <c r="D38" s="30">
        <f>SUM(D34:D37)</f>
        <v>1565</v>
      </c>
      <c r="E38" s="30"/>
      <c r="F38" s="30"/>
      <c r="G38" s="30"/>
    </row>
    <row r="41" spans="1:29" ht="15.5">
      <c r="B41" s="54" t="s">
        <v>386</v>
      </c>
    </row>
    <row r="42" spans="1:29">
      <c r="B42" s="53"/>
      <c r="C42" s="53" t="s">
        <v>1</v>
      </c>
      <c r="D42" s="53" t="s">
        <v>7</v>
      </c>
      <c r="E42" s="53" t="s">
        <v>17</v>
      </c>
      <c r="F42" s="53" t="s">
        <v>23</v>
      </c>
      <c r="G42" s="53" t="s">
        <v>25</v>
      </c>
      <c r="H42" s="53" t="s">
        <v>27</v>
      </c>
      <c r="I42" s="53" t="s">
        <v>33</v>
      </c>
      <c r="J42" s="53" t="s">
        <v>35</v>
      </c>
      <c r="K42" s="53" t="s">
        <v>39</v>
      </c>
      <c r="L42" s="53" t="s">
        <v>43</v>
      </c>
      <c r="M42" s="53" t="s">
        <v>53</v>
      </c>
      <c r="N42" s="53" t="s">
        <v>55</v>
      </c>
      <c r="O42" s="53" t="s">
        <v>57</v>
      </c>
      <c r="P42" s="53" t="s">
        <v>11</v>
      </c>
      <c r="Q42" s="53" t="s">
        <v>13</v>
      </c>
      <c r="R42" s="53" t="s">
        <v>21</v>
      </c>
      <c r="S42" s="53" t="s">
        <v>31</v>
      </c>
      <c r="T42" s="53" t="s">
        <v>49</v>
      </c>
      <c r="U42" s="53" t="s">
        <v>51</v>
      </c>
      <c r="V42" s="53" t="s">
        <v>19</v>
      </c>
      <c r="W42" s="53" t="s">
        <v>29</v>
      </c>
      <c r="X42" s="53" t="s">
        <v>37</v>
      </c>
      <c r="Y42" s="53" t="s">
        <v>45</v>
      </c>
      <c r="Z42" s="53" t="s">
        <v>47</v>
      </c>
      <c r="AA42" s="53" t="s">
        <v>9</v>
      </c>
      <c r="AB42" s="53" t="s">
        <v>15</v>
      </c>
      <c r="AC42" s="53" t="s">
        <v>41</v>
      </c>
    </row>
    <row r="43" spans="1:29">
      <c r="B43" s="52" t="s">
        <v>385</v>
      </c>
      <c r="C43" s="51">
        <v>4857000.0000000037</v>
      </c>
      <c r="D43" s="51">
        <v>58069.41691963128</v>
      </c>
      <c r="E43" s="51">
        <v>1374277.23444491</v>
      </c>
      <c r="F43" s="51">
        <v>226949.29990665423</v>
      </c>
      <c r="G43" s="51">
        <v>101214.50818114332</v>
      </c>
      <c r="H43" s="51">
        <v>86389.120439155668</v>
      </c>
      <c r="I43" s="51">
        <v>41689.581918009018</v>
      </c>
      <c r="J43" s="51">
        <v>131458.91116190821</v>
      </c>
      <c r="K43" s="51">
        <v>198940.68983476012</v>
      </c>
      <c r="L43" s="51">
        <v>79518.545149851998</v>
      </c>
      <c r="M43" s="51">
        <v>90543.492938166033</v>
      </c>
      <c r="N43" s="51">
        <v>152713.2234954162</v>
      </c>
      <c r="O43" s="51">
        <v>145270.44025817615</v>
      </c>
      <c r="P43" s="51">
        <v>121190.78743307506</v>
      </c>
      <c r="Q43" s="51">
        <v>553713.69746937393</v>
      </c>
      <c r="R43" s="51">
        <v>150657.96678402266</v>
      </c>
      <c r="S43" s="51">
        <v>198792.79294982113</v>
      </c>
      <c r="T43" s="51">
        <v>162740.63229427967</v>
      </c>
      <c r="U43" s="51">
        <v>118497.02417015182</v>
      </c>
      <c r="V43" s="51">
        <v>263213.61609369441</v>
      </c>
      <c r="W43" s="51">
        <v>32684.191592999803</v>
      </c>
      <c r="X43" s="51">
        <v>133114.33629470808</v>
      </c>
      <c r="Y43" s="51">
        <v>65833.493389669806</v>
      </c>
      <c r="Z43" s="51">
        <v>66844.292099839033</v>
      </c>
      <c r="AA43" s="51">
        <v>77697.883497327202</v>
      </c>
      <c r="AB43" s="51">
        <v>162372.42004970741</v>
      </c>
      <c r="AC43" s="51">
        <v>62612.401233550299</v>
      </c>
    </row>
    <row r="44" spans="1:29">
      <c r="B44" s="49" t="s">
        <v>384</v>
      </c>
      <c r="C44" s="50">
        <v>0.99999999999999956</v>
      </c>
      <c r="D44" s="49">
        <v>1.1955819831095581E-2</v>
      </c>
      <c r="E44" s="49">
        <v>0.28294775261373462</v>
      </c>
      <c r="F44" s="49">
        <v>4.6726230164021831E-2</v>
      </c>
      <c r="G44" s="49">
        <v>2.0838894004764925E-2</v>
      </c>
      <c r="H44" s="49">
        <v>1.7786518517429607E-2</v>
      </c>
      <c r="I44" s="49">
        <v>8.5834016714039507E-3</v>
      </c>
      <c r="J44" s="49">
        <v>2.7065865999981082E-2</v>
      </c>
      <c r="K44" s="49">
        <v>4.0959582012509772E-2</v>
      </c>
      <c r="L44" s="49">
        <v>1.6371946705754981E-2</v>
      </c>
      <c r="M44" s="49">
        <v>1.8641855659494742E-2</v>
      </c>
      <c r="N44" s="49">
        <v>3.1441882539719183E-2</v>
      </c>
      <c r="O44" s="49">
        <v>2.9909499744322842E-2</v>
      </c>
      <c r="P44" s="49">
        <v>2.4951778347349182E-2</v>
      </c>
      <c r="Q44" s="49">
        <v>0.11400323192698651</v>
      </c>
      <c r="R44" s="49">
        <v>3.1018729006387184E-2</v>
      </c>
      <c r="S44" s="49">
        <v>4.0929131758250151E-2</v>
      </c>
      <c r="T44" s="49">
        <v>3.350640977852163E-2</v>
      </c>
      <c r="U44" s="49">
        <v>2.4397163716317012E-2</v>
      </c>
      <c r="V44" s="49">
        <v>5.4192632508481407E-2</v>
      </c>
      <c r="W44" s="49">
        <v>6.7292961896231783E-3</v>
      </c>
      <c r="X44" s="49">
        <v>2.7406698845935346E-2</v>
      </c>
      <c r="Y44" s="49">
        <v>1.3554353178849033E-2</v>
      </c>
      <c r="Z44" s="49">
        <v>1.3762464916582043E-2</v>
      </c>
      <c r="AA44" s="49">
        <v>1.5997093575731345E-2</v>
      </c>
      <c r="AB44" s="49">
        <v>3.3430599145502837E-2</v>
      </c>
      <c r="AC44" s="49">
        <v>1.2891167641249795E-2</v>
      </c>
    </row>
    <row r="45" spans="1:29">
      <c r="B45" s="48" t="s">
        <v>383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6"/>
    </row>
    <row r="50" spans="2:3" ht="21">
      <c r="B50" s="435" t="s">
        <v>382</v>
      </c>
      <c r="C50" s="435"/>
    </row>
    <row r="51" spans="2:3" ht="15" thickBot="1">
      <c r="B51" s="45" t="s">
        <v>381</v>
      </c>
      <c r="C51" s="45" t="s">
        <v>380</v>
      </c>
    </row>
    <row r="52" spans="2:3" ht="15" thickBot="1">
      <c r="B52" s="44" t="s">
        <v>379</v>
      </c>
      <c r="C52" s="43"/>
    </row>
    <row r="53" spans="2:3">
      <c r="B53" s="40" t="s">
        <v>378</v>
      </c>
      <c r="C53" s="40"/>
    </row>
    <row r="54" spans="2:3">
      <c r="B54" s="21" t="s">
        <v>377</v>
      </c>
      <c r="C54" s="21" t="s">
        <v>376</v>
      </c>
    </row>
    <row r="55" spans="2:3">
      <c r="B55" s="21" t="s">
        <v>375</v>
      </c>
      <c r="C55" s="21" t="s">
        <v>374</v>
      </c>
    </row>
    <row r="56" spans="2:3">
      <c r="B56" s="40" t="s">
        <v>373</v>
      </c>
      <c r="C56" s="40"/>
    </row>
    <row r="57" spans="2:3">
      <c r="B57" s="21" t="s">
        <v>372</v>
      </c>
      <c r="C57" s="21" t="s">
        <v>371</v>
      </c>
    </row>
    <row r="58" spans="2:3">
      <c r="B58" s="21" t="s">
        <v>370</v>
      </c>
      <c r="C58" s="21" t="s">
        <v>369</v>
      </c>
    </row>
    <row r="59" spans="2:3">
      <c r="B59" s="21" t="s">
        <v>368</v>
      </c>
      <c r="C59" s="21" t="s">
        <v>367</v>
      </c>
    </row>
    <row r="60" spans="2:3">
      <c r="B60" s="21" t="s">
        <v>366</v>
      </c>
      <c r="C60" s="21" t="s">
        <v>365</v>
      </c>
    </row>
    <row r="61" spans="2:3">
      <c r="B61" s="21" t="s">
        <v>364</v>
      </c>
      <c r="C61" s="21" t="s">
        <v>363</v>
      </c>
    </row>
    <row r="62" spans="2:3">
      <c r="B62" s="21" t="s">
        <v>362</v>
      </c>
      <c r="C62" s="21" t="s">
        <v>361</v>
      </c>
    </row>
    <row r="63" spans="2:3">
      <c r="B63" s="21" t="s">
        <v>360</v>
      </c>
      <c r="C63" s="21" t="s">
        <v>359</v>
      </c>
    </row>
    <row r="64" spans="2:3">
      <c r="B64" s="21" t="s">
        <v>358</v>
      </c>
      <c r="C64" s="21" t="s">
        <v>357</v>
      </c>
    </row>
    <row r="65" spans="2:3">
      <c r="B65" s="21" t="s">
        <v>356</v>
      </c>
      <c r="C65" s="21" t="s">
        <v>355</v>
      </c>
    </row>
    <row r="66" spans="2:3">
      <c r="B66" s="21" t="s">
        <v>354</v>
      </c>
      <c r="C66" s="21" t="s">
        <v>353</v>
      </c>
    </row>
    <row r="67" spans="2:3">
      <c r="B67" s="21" t="s">
        <v>352</v>
      </c>
      <c r="C67" s="21" t="s">
        <v>351</v>
      </c>
    </row>
    <row r="68" spans="2:3">
      <c r="B68" s="21" t="s">
        <v>350</v>
      </c>
      <c r="C68" s="21" t="s">
        <v>349</v>
      </c>
    </row>
    <row r="69" spans="2:3">
      <c r="B69" s="21" t="s">
        <v>348</v>
      </c>
      <c r="C69" s="21" t="s">
        <v>347</v>
      </c>
    </row>
    <row r="70" spans="2:3">
      <c r="B70" s="21" t="s">
        <v>346</v>
      </c>
      <c r="C70" s="21" t="s">
        <v>345</v>
      </c>
    </row>
    <row r="71" spans="2:3">
      <c r="B71" s="21" t="s">
        <v>344</v>
      </c>
      <c r="C71" s="21" t="s">
        <v>343</v>
      </c>
    </row>
    <row r="72" spans="2:3">
      <c r="B72" s="21" t="s">
        <v>342</v>
      </c>
      <c r="C72" s="21" t="s">
        <v>341</v>
      </c>
    </row>
    <row r="73" spans="2:3">
      <c r="B73" s="21" t="s">
        <v>340</v>
      </c>
      <c r="C73" s="21" t="s">
        <v>339</v>
      </c>
    </row>
    <row r="74" spans="2:3">
      <c r="B74" s="21" t="s">
        <v>338</v>
      </c>
      <c r="C74" s="21" t="s">
        <v>337</v>
      </c>
    </row>
    <row r="75" spans="2:3">
      <c r="B75" s="21" t="s">
        <v>336</v>
      </c>
      <c r="C75" s="21" t="s">
        <v>335</v>
      </c>
    </row>
    <row r="76" spans="2:3">
      <c r="B76" s="40" t="s">
        <v>334</v>
      </c>
      <c r="C76" s="40"/>
    </row>
    <row r="77" spans="2:3">
      <c r="B77" s="21" t="s">
        <v>333</v>
      </c>
      <c r="C77" s="21" t="s">
        <v>332</v>
      </c>
    </row>
    <row r="78" spans="2:3">
      <c r="B78" s="21" t="s">
        <v>331</v>
      </c>
      <c r="C78" s="21" t="s">
        <v>330</v>
      </c>
    </row>
    <row r="79" spans="2:3">
      <c r="B79" s="21" t="s">
        <v>329</v>
      </c>
      <c r="C79" s="21" t="s">
        <v>328</v>
      </c>
    </row>
    <row r="80" spans="2:3">
      <c r="B80" s="21" t="s">
        <v>327</v>
      </c>
      <c r="C80" s="21" t="s">
        <v>326</v>
      </c>
    </row>
    <row r="81" spans="2:3">
      <c r="B81" s="21" t="s">
        <v>325</v>
      </c>
      <c r="C81" s="21" t="s">
        <v>324</v>
      </c>
    </row>
    <row r="82" spans="2:3">
      <c r="B82" s="21" t="s">
        <v>323</v>
      </c>
      <c r="C82" s="21" t="s">
        <v>322</v>
      </c>
    </row>
    <row r="83" spans="2:3">
      <c r="B83" s="21" t="s">
        <v>321</v>
      </c>
      <c r="C83" s="21" t="s">
        <v>320</v>
      </c>
    </row>
    <row r="84" spans="2:3">
      <c r="B84" s="21" t="s">
        <v>319</v>
      </c>
      <c r="C84" s="21" t="s">
        <v>318</v>
      </c>
    </row>
    <row r="85" spans="2:3">
      <c r="B85" s="21" t="s">
        <v>317</v>
      </c>
      <c r="C85" s="21" t="s">
        <v>316</v>
      </c>
    </row>
    <row r="86" spans="2:3">
      <c r="B86" s="21" t="s">
        <v>315</v>
      </c>
      <c r="C86" s="21" t="s">
        <v>314</v>
      </c>
    </row>
    <row r="87" spans="2:3">
      <c r="B87" s="21" t="s">
        <v>313</v>
      </c>
      <c r="C87" s="21" t="s">
        <v>312</v>
      </c>
    </row>
    <row r="88" spans="2:3">
      <c r="B88" s="21" t="s">
        <v>311</v>
      </c>
      <c r="C88" s="21" t="s">
        <v>310</v>
      </c>
    </row>
    <row r="89" spans="2:3">
      <c r="B89" s="21" t="s">
        <v>309</v>
      </c>
      <c r="C89" s="21" t="s">
        <v>308</v>
      </c>
    </row>
    <row r="90" spans="2:3">
      <c r="B90" s="21" t="s">
        <v>307</v>
      </c>
      <c r="C90" s="21" t="s">
        <v>306</v>
      </c>
    </row>
    <row r="91" spans="2:3">
      <c r="B91" s="21" t="s">
        <v>305</v>
      </c>
      <c r="C91" s="21" t="s">
        <v>304</v>
      </c>
    </row>
    <row r="92" spans="2:3">
      <c r="B92" s="21" t="s">
        <v>303</v>
      </c>
      <c r="C92" s="21" t="s">
        <v>302</v>
      </c>
    </row>
    <row r="93" spans="2:3">
      <c r="B93" s="21" t="s">
        <v>301</v>
      </c>
      <c r="C93" s="21" t="s">
        <v>300</v>
      </c>
    </row>
    <row r="94" spans="2:3">
      <c r="B94" s="21" t="s">
        <v>299</v>
      </c>
      <c r="C94" s="21" t="s">
        <v>298</v>
      </c>
    </row>
    <row r="95" spans="2:3">
      <c r="B95" s="21" t="s">
        <v>297</v>
      </c>
      <c r="C95" s="21" t="s">
        <v>296</v>
      </c>
    </row>
    <row r="96" spans="2:3">
      <c r="B96" s="40" t="s">
        <v>295</v>
      </c>
      <c r="C96" s="40"/>
    </row>
    <row r="97" spans="2:3">
      <c r="B97" s="21" t="s">
        <v>294</v>
      </c>
      <c r="C97" s="21" t="s">
        <v>293</v>
      </c>
    </row>
    <row r="98" spans="2:3">
      <c r="B98" s="21" t="s">
        <v>292</v>
      </c>
      <c r="C98" s="21" t="s">
        <v>291</v>
      </c>
    </row>
    <row r="99" spans="2:3">
      <c r="B99" s="21" t="s">
        <v>290</v>
      </c>
      <c r="C99" s="21" t="s">
        <v>289</v>
      </c>
    </row>
    <row r="100" spans="2:3">
      <c r="B100" s="21" t="s">
        <v>288</v>
      </c>
      <c r="C100" s="21" t="s">
        <v>287</v>
      </c>
    </row>
    <row r="101" spans="2:3">
      <c r="B101" s="21" t="s">
        <v>286</v>
      </c>
      <c r="C101" s="21" t="s">
        <v>285</v>
      </c>
    </row>
    <row r="102" spans="2:3">
      <c r="B102" s="40" t="s">
        <v>284</v>
      </c>
      <c r="C102" s="40"/>
    </row>
    <row r="103" spans="2:3">
      <c r="B103" s="21" t="s">
        <v>283</v>
      </c>
      <c r="C103" s="21" t="s">
        <v>282</v>
      </c>
    </row>
    <row r="104" spans="2:3">
      <c r="B104" s="21" t="s">
        <v>281</v>
      </c>
      <c r="C104" s="21" t="s">
        <v>280</v>
      </c>
    </row>
    <row r="105" spans="2:3">
      <c r="B105" s="21" t="s">
        <v>279</v>
      </c>
      <c r="C105" s="21" t="s">
        <v>278</v>
      </c>
    </row>
    <row r="106" spans="2:3">
      <c r="B106" s="42" t="s">
        <v>277</v>
      </c>
      <c r="C106" s="41"/>
    </row>
    <row r="107" spans="2:3">
      <c r="B107" s="40" t="s">
        <v>276</v>
      </c>
      <c r="C107" s="40"/>
    </row>
    <row r="108" spans="2:3">
      <c r="B108" s="21" t="s">
        <v>275</v>
      </c>
      <c r="C108" s="21" t="s">
        <v>274</v>
      </c>
    </row>
    <row r="109" spans="2:3">
      <c r="B109" s="21" t="s">
        <v>273</v>
      </c>
      <c r="C109" s="21" t="s">
        <v>272</v>
      </c>
    </row>
    <row r="110" spans="2:3">
      <c r="B110" s="21" t="s">
        <v>271</v>
      </c>
      <c r="C110" s="21" t="s">
        <v>270</v>
      </c>
    </row>
    <row r="111" spans="2:3">
      <c r="B111" s="21" t="s">
        <v>269</v>
      </c>
      <c r="C111" s="21" t="s">
        <v>268</v>
      </c>
    </row>
    <row r="112" spans="2:3">
      <c r="B112" s="21" t="s">
        <v>267</v>
      </c>
      <c r="C112" s="21" t="s">
        <v>266</v>
      </c>
    </row>
    <row r="113" spans="2:3">
      <c r="B113" s="21" t="s">
        <v>265</v>
      </c>
      <c r="C113" s="21" t="s">
        <v>264</v>
      </c>
    </row>
    <row r="114" spans="2:3">
      <c r="B114" s="21" t="s">
        <v>263</v>
      </c>
      <c r="C114" s="21" t="s">
        <v>262</v>
      </c>
    </row>
    <row r="115" spans="2:3">
      <c r="B115" s="40" t="s">
        <v>261</v>
      </c>
      <c r="C115" s="40"/>
    </row>
    <row r="116" spans="2:3">
      <c r="B116" s="21" t="s">
        <v>260</v>
      </c>
      <c r="C116" s="21" t="s">
        <v>259</v>
      </c>
    </row>
    <row r="117" spans="2:3">
      <c r="B117" s="21" t="s">
        <v>258</v>
      </c>
      <c r="C117" s="21" t="s">
        <v>257</v>
      </c>
    </row>
    <row r="118" spans="2:3">
      <c r="B118" s="21" t="s">
        <v>256</v>
      </c>
      <c r="C118" s="21" t="s">
        <v>255</v>
      </c>
    </row>
    <row r="119" spans="2:3">
      <c r="B119" s="21" t="s">
        <v>254</v>
      </c>
      <c r="C119" s="21" t="s">
        <v>253</v>
      </c>
    </row>
    <row r="120" spans="2:3">
      <c r="B120" s="21" t="s">
        <v>252</v>
      </c>
      <c r="C120" s="21" t="s">
        <v>251</v>
      </c>
    </row>
    <row r="121" spans="2:3">
      <c r="B121" s="21" t="s">
        <v>250</v>
      </c>
      <c r="C121" s="21" t="s">
        <v>249</v>
      </c>
    </row>
    <row r="122" spans="2:3">
      <c r="B122" s="21" t="s">
        <v>248</v>
      </c>
      <c r="C122" s="21" t="s">
        <v>247</v>
      </c>
    </row>
    <row r="123" spans="2:3">
      <c r="B123" s="40" t="s">
        <v>246</v>
      </c>
      <c r="C123" s="40"/>
    </row>
    <row r="124" spans="2:3">
      <c r="B124" s="21" t="s">
        <v>245</v>
      </c>
      <c r="C124" s="21" t="s">
        <v>244</v>
      </c>
    </row>
    <row r="125" spans="2:3">
      <c r="B125" s="21" t="s">
        <v>243</v>
      </c>
      <c r="C125" s="21" t="s">
        <v>242</v>
      </c>
    </row>
    <row r="126" spans="2:3">
      <c r="B126" s="21" t="s">
        <v>241</v>
      </c>
      <c r="C126" s="21" t="s">
        <v>240</v>
      </c>
    </row>
    <row r="127" spans="2:3">
      <c r="B127" s="21" t="s">
        <v>239</v>
      </c>
      <c r="C127" s="21" t="s">
        <v>238</v>
      </c>
    </row>
    <row r="128" spans="2:3">
      <c r="B128" s="21" t="s">
        <v>237</v>
      </c>
      <c r="C128" s="21" t="s">
        <v>236</v>
      </c>
    </row>
    <row r="129" spans="1:9">
      <c r="B129" s="21" t="s">
        <v>235</v>
      </c>
      <c r="C129" s="21" t="s">
        <v>234</v>
      </c>
    </row>
    <row r="130" spans="1:9">
      <c r="B130" s="21" t="s">
        <v>233</v>
      </c>
      <c r="C130" s="21" t="s">
        <v>232</v>
      </c>
    </row>
    <row r="131" spans="1:9">
      <c r="A131" s="363"/>
      <c r="B131" s="363"/>
      <c r="C131" s="363"/>
      <c r="D131" s="363"/>
      <c r="E131" s="363"/>
      <c r="F131" s="363"/>
      <c r="G131" s="363"/>
      <c r="H131" s="363"/>
      <c r="I131" s="363"/>
    </row>
    <row r="132" spans="1:9">
      <c r="A132" s="357" t="s">
        <v>403</v>
      </c>
      <c r="B132" s="361"/>
      <c r="C132" s="361"/>
      <c r="D132" s="361"/>
    </row>
    <row r="133" spans="1:9" ht="15.5">
      <c r="A133" s="362" t="s">
        <v>535</v>
      </c>
      <c r="B133" s="361"/>
      <c r="C133" s="361"/>
      <c r="D133" s="361"/>
    </row>
    <row r="135" spans="1:9" ht="15.5">
      <c r="A135" s="362" t="s">
        <v>401</v>
      </c>
      <c r="B135" s="361"/>
      <c r="C135" s="361"/>
      <c r="D135" s="361"/>
    </row>
    <row r="136" spans="1:9">
      <c r="A136" s="361" t="s">
        <v>536</v>
      </c>
      <c r="B136" s="361"/>
      <c r="C136" s="361"/>
      <c r="D136" s="361"/>
    </row>
    <row r="138" spans="1:9" ht="15.5">
      <c r="A138" s="359" t="s">
        <v>393</v>
      </c>
      <c r="B138" s="359" t="s">
        <v>392</v>
      </c>
      <c r="C138" s="360" t="s">
        <v>526</v>
      </c>
      <c r="D138" s="360" t="s">
        <v>527</v>
      </c>
      <c r="E138" s="360" t="s">
        <v>528</v>
      </c>
      <c r="F138" s="360" t="s">
        <v>529</v>
      </c>
      <c r="G138" s="360" t="s">
        <v>530</v>
      </c>
    </row>
    <row r="139" spans="1:9">
      <c r="A139" s="358">
        <v>1</v>
      </c>
      <c r="B139" s="358" t="s">
        <v>399</v>
      </c>
      <c r="C139" s="358">
        <v>30542</v>
      </c>
      <c r="D139" s="358">
        <v>32798</v>
      </c>
      <c r="E139" s="358">
        <v>-6.88</v>
      </c>
      <c r="F139" s="358">
        <v>30.1</v>
      </c>
      <c r="G139" s="358">
        <v>32.39</v>
      </c>
    </row>
    <row r="140" spans="1:9">
      <c r="A140" s="358">
        <v>2</v>
      </c>
      <c r="B140" s="358" t="s">
        <v>391</v>
      </c>
      <c r="C140" s="358">
        <v>27388</v>
      </c>
      <c r="D140" s="358">
        <v>34166</v>
      </c>
      <c r="E140" s="358">
        <v>-19.84</v>
      </c>
      <c r="F140" s="358">
        <v>26.99</v>
      </c>
      <c r="G140" s="358">
        <v>33.74</v>
      </c>
    </row>
    <row r="141" spans="1:9">
      <c r="A141" s="358">
        <v>3</v>
      </c>
      <c r="B141" s="358" t="s">
        <v>531</v>
      </c>
      <c r="C141" s="358">
        <v>19959</v>
      </c>
      <c r="D141" s="358">
        <v>16424</v>
      </c>
      <c r="E141" s="358">
        <v>21.52</v>
      </c>
      <c r="F141" s="358">
        <v>19.670000000000002</v>
      </c>
      <c r="G141" s="358">
        <v>16.22</v>
      </c>
    </row>
    <row r="142" spans="1:9">
      <c r="A142" s="358">
        <v>4</v>
      </c>
      <c r="B142" s="358" t="s">
        <v>389</v>
      </c>
      <c r="C142" s="358">
        <v>14508</v>
      </c>
      <c r="D142" s="358">
        <v>7899</v>
      </c>
      <c r="E142" s="358">
        <v>83.67</v>
      </c>
      <c r="F142" s="358">
        <v>14.3</v>
      </c>
      <c r="G142" s="358">
        <v>7.8</v>
      </c>
    </row>
    <row r="143" spans="1:9">
      <c r="A143" s="358">
        <v>5</v>
      </c>
      <c r="B143" s="358" t="s">
        <v>397</v>
      </c>
      <c r="C143" s="358">
        <v>6889</v>
      </c>
      <c r="D143" s="358">
        <v>7289</v>
      </c>
      <c r="E143" s="358">
        <v>-5.49</v>
      </c>
      <c r="F143" s="358">
        <v>6.79</v>
      </c>
      <c r="G143" s="358">
        <v>7.2</v>
      </c>
    </row>
    <row r="144" spans="1:9">
      <c r="A144" s="358">
        <v>6</v>
      </c>
      <c r="B144" s="358" t="s">
        <v>532</v>
      </c>
      <c r="C144" s="358">
        <v>927</v>
      </c>
      <c r="D144" s="358">
        <v>2172</v>
      </c>
      <c r="E144" s="358">
        <v>-57.32</v>
      </c>
      <c r="F144" s="358">
        <v>0.91</v>
      </c>
      <c r="G144" s="358">
        <v>2.14</v>
      </c>
    </row>
    <row r="145" spans="1:9">
      <c r="A145" s="358">
        <v>7</v>
      </c>
      <c r="B145" s="358" t="s">
        <v>533</v>
      </c>
      <c r="C145" s="358">
        <v>580</v>
      </c>
      <c r="D145" s="358">
        <v>294</v>
      </c>
      <c r="E145" s="358">
        <v>97.28</v>
      </c>
      <c r="F145" s="358">
        <v>0.56999999999999995</v>
      </c>
      <c r="G145" s="358">
        <v>0.28999999999999998</v>
      </c>
    </row>
    <row r="146" spans="1:9">
      <c r="A146" s="358">
        <v>8</v>
      </c>
      <c r="B146" s="358" t="s">
        <v>395</v>
      </c>
      <c r="C146" s="358">
        <v>549</v>
      </c>
      <c r="D146" s="358">
        <v>227</v>
      </c>
      <c r="E146" s="358">
        <v>141.85</v>
      </c>
      <c r="F146" s="358">
        <v>0.54</v>
      </c>
      <c r="G146" s="358">
        <v>0.22</v>
      </c>
    </row>
    <row r="147" spans="1:9">
      <c r="A147" s="358">
        <v>9</v>
      </c>
      <c r="B147" s="358" t="s">
        <v>390</v>
      </c>
      <c r="C147" s="358">
        <v>140</v>
      </c>
      <c r="D147" s="358">
        <v>0</v>
      </c>
      <c r="E147" s="358" t="s">
        <v>534</v>
      </c>
      <c r="F147" s="358">
        <v>0.14000000000000001</v>
      </c>
      <c r="G147" s="358">
        <v>0</v>
      </c>
    </row>
    <row r="149" spans="1:9">
      <c r="A149" s="363"/>
      <c r="B149" s="363"/>
      <c r="C149" s="363"/>
      <c r="D149" s="363"/>
      <c r="E149" s="363"/>
      <c r="F149" s="363"/>
      <c r="G149" s="363"/>
      <c r="H149" s="363"/>
      <c r="I149" s="363"/>
    </row>
    <row r="150" spans="1:9">
      <c r="A150" s="361" t="s">
        <v>403</v>
      </c>
      <c r="B150" s="361"/>
      <c r="C150" s="361"/>
      <c r="D150" s="361"/>
      <c r="E150" s="361"/>
      <c r="F150" s="361"/>
      <c r="G150" s="361"/>
    </row>
    <row r="151" spans="1:9" ht="15.5">
      <c r="A151" s="362" t="s">
        <v>535</v>
      </c>
      <c r="B151" s="361"/>
      <c r="C151" s="361"/>
      <c r="D151" s="361"/>
      <c r="E151" s="361"/>
      <c r="F151" s="361"/>
      <c r="G151" s="361"/>
    </row>
    <row r="153" spans="1:9" ht="15.5">
      <c r="A153" s="362" t="s">
        <v>400</v>
      </c>
      <c r="B153" s="361"/>
      <c r="C153" s="361"/>
      <c r="D153" s="361"/>
      <c r="E153" s="361"/>
      <c r="F153" s="361"/>
      <c r="G153" s="361"/>
    </row>
    <row r="154" spans="1:9">
      <c r="A154" s="361" t="s">
        <v>536</v>
      </c>
      <c r="B154" s="361"/>
      <c r="C154" s="361"/>
      <c r="D154" s="361"/>
      <c r="E154" s="361"/>
      <c r="F154" s="361"/>
      <c r="G154" s="361"/>
    </row>
    <row r="156" spans="1:9" ht="15.5">
      <c r="A156" s="362" t="s">
        <v>393</v>
      </c>
      <c r="B156" s="362" t="s">
        <v>392</v>
      </c>
      <c r="C156" s="362" t="s">
        <v>526</v>
      </c>
      <c r="D156" s="362" t="s">
        <v>527</v>
      </c>
      <c r="E156" s="362" t="s">
        <v>528</v>
      </c>
      <c r="F156" s="362" t="s">
        <v>529</v>
      </c>
      <c r="G156" s="362" t="s">
        <v>530</v>
      </c>
    </row>
    <row r="157" spans="1:9">
      <c r="A157" s="361">
        <v>1</v>
      </c>
      <c r="B157" s="361" t="s">
        <v>391</v>
      </c>
      <c r="C157" s="361">
        <v>20196</v>
      </c>
      <c r="D157" s="361">
        <v>25844</v>
      </c>
      <c r="E157" s="361">
        <v>-21.85</v>
      </c>
      <c r="F157" s="361">
        <v>96.33</v>
      </c>
      <c r="G157" s="361">
        <v>96.8</v>
      </c>
    </row>
    <row r="158" spans="1:9">
      <c r="A158" s="361">
        <v>2</v>
      </c>
      <c r="B158" s="361" t="s">
        <v>389</v>
      </c>
      <c r="C158" s="361">
        <v>366</v>
      </c>
      <c r="D158" s="361">
        <v>615</v>
      </c>
      <c r="E158" s="361">
        <v>-40.49</v>
      </c>
      <c r="F158" s="361">
        <v>1.75</v>
      </c>
      <c r="G158" s="361">
        <v>2.2999999999999998</v>
      </c>
    </row>
    <row r="159" spans="1:9">
      <c r="A159" s="361">
        <v>3</v>
      </c>
      <c r="B159" s="361" t="s">
        <v>399</v>
      </c>
      <c r="C159" s="361">
        <v>296</v>
      </c>
      <c r="D159" s="361">
        <v>55</v>
      </c>
      <c r="E159" s="361">
        <v>438.18</v>
      </c>
      <c r="F159" s="361">
        <v>1.41</v>
      </c>
      <c r="G159" s="361">
        <v>0.21</v>
      </c>
    </row>
    <row r="160" spans="1:9">
      <c r="A160" s="361">
        <v>4</v>
      </c>
      <c r="B160" s="361" t="s">
        <v>532</v>
      </c>
      <c r="C160" s="361">
        <v>80</v>
      </c>
      <c r="D160" s="361">
        <v>154</v>
      </c>
      <c r="E160" s="361">
        <v>-48.05</v>
      </c>
      <c r="F160" s="361">
        <v>0.38</v>
      </c>
      <c r="G160" s="361">
        <v>0.57999999999999996</v>
      </c>
    </row>
    <row r="161" spans="1:9">
      <c r="A161" s="361">
        <v>5</v>
      </c>
      <c r="B161" s="361" t="s">
        <v>531</v>
      </c>
      <c r="C161" s="361">
        <v>16</v>
      </c>
      <c r="D161" s="361">
        <v>9</v>
      </c>
      <c r="E161" s="361">
        <v>77.78</v>
      </c>
      <c r="F161" s="361">
        <v>0.08</v>
      </c>
      <c r="G161" s="361">
        <v>0.03</v>
      </c>
    </row>
    <row r="162" spans="1:9">
      <c r="A162" s="361">
        <v>6</v>
      </c>
      <c r="B162" s="361" t="s">
        <v>397</v>
      </c>
      <c r="C162" s="361">
        <v>7</v>
      </c>
      <c r="D162" s="361">
        <v>12</v>
      </c>
      <c r="E162" s="361">
        <v>-41.67</v>
      </c>
      <c r="F162" s="361">
        <v>0.03</v>
      </c>
      <c r="G162" s="361">
        <v>0.04</v>
      </c>
    </row>
    <row r="163" spans="1:9">
      <c r="A163" s="361">
        <v>7</v>
      </c>
      <c r="B163" s="361" t="s">
        <v>388</v>
      </c>
      <c r="C163" s="361">
        <v>5</v>
      </c>
      <c r="D163" s="361">
        <v>0</v>
      </c>
      <c r="E163" s="361" t="s">
        <v>534</v>
      </c>
      <c r="F163" s="361">
        <v>0.02</v>
      </c>
      <c r="G163" s="361">
        <v>0</v>
      </c>
    </row>
    <row r="164" spans="1:9">
      <c r="A164" s="361" t="s">
        <v>534</v>
      </c>
      <c r="B164" s="361" t="s">
        <v>395</v>
      </c>
      <c r="C164" s="361">
        <v>0</v>
      </c>
      <c r="D164" s="361">
        <v>9</v>
      </c>
      <c r="E164" s="361" t="s">
        <v>534</v>
      </c>
      <c r="F164" s="361">
        <v>0</v>
      </c>
      <c r="G164" s="361">
        <v>0.03</v>
      </c>
    </row>
    <row r="166" spans="1:9">
      <c r="A166" s="363"/>
      <c r="B166" s="363"/>
      <c r="C166" s="363"/>
      <c r="D166" s="363"/>
      <c r="E166" s="363"/>
      <c r="F166" s="363"/>
      <c r="G166" s="363"/>
      <c r="H166" s="363"/>
      <c r="I166" s="363"/>
    </row>
    <row r="167" spans="1:9">
      <c r="A167" s="357" t="s">
        <v>403</v>
      </c>
      <c r="B167" s="361"/>
      <c r="C167" s="361"/>
      <c r="D167" s="361"/>
      <c r="E167" s="361"/>
      <c r="F167" s="361"/>
      <c r="G167" s="361"/>
    </row>
    <row r="168" spans="1:9" ht="15.5">
      <c r="A168" s="362" t="s">
        <v>535</v>
      </c>
      <c r="B168" s="361"/>
      <c r="C168" s="361"/>
      <c r="D168" s="361"/>
      <c r="E168" s="361"/>
      <c r="F168" s="361"/>
      <c r="G168" s="361"/>
    </row>
    <row r="170" spans="1:9" ht="15.5">
      <c r="A170" s="362" t="s">
        <v>394</v>
      </c>
      <c r="B170" s="361"/>
      <c r="C170" s="361"/>
      <c r="D170" s="361"/>
      <c r="E170" s="361"/>
      <c r="F170" s="361"/>
      <c r="G170" s="361"/>
    </row>
    <row r="171" spans="1:9">
      <c r="A171" s="361" t="s">
        <v>536</v>
      </c>
      <c r="B171" s="361"/>
      <c r="C171" s="361"/>
      <c r="D171" s="361"/>
      <c r="E171" s="361"/>
      <c r="F171" s="361"/>
      <c r="G171" s="361"/>
    </row>
    <row r="173" spans="1:9" ht="15.5">
      <c r="A173" s="362" t="s">
        <v>393</v>
      </c>
      <c r="B173" s="362" t="s">
        <v>392</v>
      </c>
      <c r="C173" s="362" t="s">
        <v>526</v>
      </c>
      <c r="D173" s="362" t="s">
        <v>527</v>
      </c>
      <c r="E173" s="362" t="s">
        <v>528</v>
      </c>
      <c r="F173" s="362" t="s">
        <v>529</v>
      </c>
      <c r="G173" s="362" t="s">
        <v>530</v>
      </c>
    </row>
    <row r="174" spans="1:9">
      <c r="A174" s="361">
        <v>1</v>
      </c>
      <c r="B174" s="361" t="s">
        <v>391</v>
      </c>
      <c r="C174" s="361">
        <v>2041</v>
      </c>
      <c r="D174" s="361">
        <v>2136</v>
      </c>
      <c r="E174" s="361">
        <v>-4.45</v>
      </c>
      <c r="F174" s="361">
        <v>96.41</v>
      </c>
      <c r="G174" s="361">
        <v>91.44</v>
      </c>
    </row>
    <row r="175" spans="1:9">
      <c r="A175" s="361">
        <v>2</v>
      </c>
      <c r="B175" s="361" t="s">
        <v>532</v>
      </c>
      <c r="C175" s="361">
        <v>45</v>
      </c>
      <c r="D175" s="361">
        <v>71</v>
      </c>
      <c r="E175" s="361">
        <v>-36.619999999999997</v>
      </c>
      <c r="F175" s="361">
        <v>2.13</v>
      </c>
      <c r="G175" s="361">
        <v>3.04</v>
      </c>
    </row>
    <row r="176" spans="1:9">
      <c r="A176" s="361">
        <v>3</v>
      </c>
      <c r="B176" s="361" t="s">
        <v>390</v>
      </c>
      <c r="C176" s="361">
        <v>18</v>
      </c>
      <c r="D176" s="361">
        <v>19</v>
      </c>
      <c r="E176" s="361">
        <v>-5.26</v>
      </c>
      <c r="F176" s="361">
        <v>0.85</v>
      </c>
      <c r="G176" s="361">
        <v>0.81</v>
      </c>
    </row>
    <row r="177" spans="1:7">
      <c r="A177" s="361">
        <v>4</v>
      </c>
      <c r="B177" s="361" t="s">
        <v>389</v>
      </c>
      <c r="C177" s="361">
        <v>12</v>
      </c>
      <c r="D177" s="361">
        <v>5</v>
      </c>
      <c r="E177" s="361">
        <v>140</v>
      </c>
      <c r="F177" s="361">
        <v>0.56999999999999995</v>
      </c>
      <c r="G177" s="361">
        <v>0.21</v>
      </c>
    </row>
    <row r="178" spans="1:7">
      <c r="A178" s="361">
        <v>5</v>
      </c>
      <c r="B178" s="361" t="s">
        <v>388</v>
      </c>
      <c r="C178" s="361">
        <v>1</v>
      </c>
      <c r="D178" s="361">
        <v>3</v>
      </c>
      <c r="E178" s="361">
        <v>-66.67</v>
      </c>
      <c r="F178" s="361">
        <v>0.05</v>
      </c>
      <c r="G178" s="361">
        <v>0.13</v>
      </c>
    </row>
    <row r="179" spans="1:7">
      <c r="A179" s="361" t="s">
        <v>534</v>
      </c>
      <c r="B179" s="361" t="s">
        <v>395</v>
      </c>
      <c r="C179" s="361">
        <v>0</v>
      </c>
      <c r="D179" s="361">
        <v>100</v>
      </c>
      <c r="E179" s="361" t="s">
        <v>534</v>
      </c>
      <c r="F179" s="361">
        <v>0</v>
      </c>
      <c r="G179" s="361">
        <v>4.28</v>
      </c>
    </row>
    <row r="180" spans="1:7">
      <c r="A180" s="361" t="s">
        <v>534</v>
      </c>
      <c r="B180" s="361" t="s">
        <v>537</v>
      </c>
      <c r="C180" s="361">
        <v>0</v>
      </c>
      <c r="D180" s="361">
        <v>2</v>
      </c>
      <c r="E180" s="361" t="s">
        <v>534</v>
      </c>
      <c r="F180" s="361">
        <v>0</v>
      </c>
      <c r="G180" s="361">
        <v>0.09</v>
      </c>
    </row>
    <row r="184" spans="1:7">
      <c r="B184" t="s">
        <v>563</v>
      </c>
    </row>
    <row r="185" spans="1:7">
      <c r="B185" s="375" t="s">
        <v>548</v>
      </c>
      <c r="C185" s="376" t="s">
        <v>226</v>
      </c>
      <c r="D185" s="376" t="s">
        <v>549</v>
      </c>
      <c r="E185" s="376" t="s">
        <v>550</v>
      </c>
      <c r="F185" s="376" t="s">
        <v>551</v>
      </c>
      <c r="G185" s="377" t="s">
        <v>552</v>
      </c>
    </row>
    <row r="186" spans="1:7">
      <c r="B186" s="378" t="s">
        <v>553</v>
      </c>
      <c r="C186" s="379" t="s">
        <v>554</v>
      </c>
      <c r="D186" s="379" t="s">
        <v>555</v>
      </c>
      <c r="E186" s="379" t="s">
        <v>399</v>
      </c>
      <c r="F186" s="379" t="s">
        <v>556</v>
      </c>
      <c r="G186" s="380">
        <v>46776</v>
      </c>
    </row>
    <row r="187" spans="1:7">
      <c r="B187" s="381" t="s">
        <v>553</v>
      </c>
      <c r="C187" s="382" t="s">
        <v>554</v>
      </c>
      <c r="D187" s="382" t="s">
        <v>555</v>
      </c>
      <c r="E187" s="382" t="s">
        <v>391</v>
      </c>
      <c r="F187" s="382" t="s">
        <v>556</v>
      </c>
      <c r="G187" s="383">
        <v>65814</v>
      </c>
    </row>
    <row r="188" spans="1:7">
      <c r="B188" s="378" t="s">
        <v>553</v>
      </c>
      <c r="C188" s="379" t="s">
        <v>554</v>
      </c>
      <c r="D188" s="379" t="s">
        <v>555</v>
      </c>
      <c r="E188" s="379" t="s">
        <v>557</v>
      </c>
      <c r="F188" s="379" t="s">
        <v>556</v>
      </c>
      <c r="G188" s="380">
        <v>0</v>
      </c>
    </row>
    <row r="189" spans="1:7">
      <c r="B189" s="381" t="s">
        <v>553</v>
      </c>
      <c r="C189" s="382" t="s">
        <v>554</v>
      </c>
      <c r="D189" s="382" t="s">
        <v>555</v>
      </c>
      <c r="E189" s="382" t="s">
        <v>389</v>
      </c>
      <c r="F189" s="382" t="s">
        <v>556</v>
      </c>
      <c r="G189" s="383">
        <v>1222</v>
      </c>
    </row>
    <row r="190" spans="1:7">
      <c r="B190" s="378" t="s">
        <v>553</v>
      </c>
      <c r="C190" s="379" t="s">
        <v>554</v>
      </c>
      <c r="D190" s="379" t="s">
        <v>555</v>
      </c>
      <c r="E190" s="379" t="s">
        <v>558</v>
      </c>
      <c r="F190" s="379" t="s">
        <v>556</v>
      </c>
      <c r="G190" s="380">
        <v>7345</v>
      </c>
    </row>
    <row r="191" spans="1:7">
      <c r="B191" s="381" t="s">
        <v>553</v>
      </c>
      <c r="C191" s="382" t="s">
        <v>559</v>
      </c>
      <c r="D191" s="382" t="s">
        <v>555</v>
      </c>
      <c r="E191" s="382" t="s">
        <v>399</v>
      </c>
      <c r="F191" s="382" t="s">
        <v>556</v>
      </c>
      <c r="G191" s="383">
        <v>45761</v>
      </c>
    </row>
    <row r="192" spans="1:7">
      <c r="B192" s="378" t="s">
        <v>553</v>
      </c>
      <c r="C192" s="379" t="s">
        <v>559</v>
      </c>
      <c r="D192" s="379" t="s">
        <v>555</v>
      </c>
      <c r="E192" s="379" t="s">
        <v>391</v>
      </c>
      <c r="F192" s="379" t="s">
        <v>556</v>
      </c>
      <c r="G192" s="380">
        <v>53201</v>
      </c>
    </row>
    <row r="193" spans="2:7">
      <c r="B193" s="381" t="s">
        <v>553</v>
      </c>
      <c r="C193" s="382" t="s">
        <v>559</v>
      </c>
      <c r="D193" s="382" t="s">
        <v>555</v>
      </c>
      <c r="E193" s="382" t="s">
        <v>557</v>
      </c>
      <c r="F193" s="382" t="s">
        <v>556</v>
      </c>
      <c r="G193" s="383">
        <v>0</v>
      </c>
    </row>
    <row r="194" spans="2:7">
      <c r="B194" s="378" t="s">
        <v>553</v>
      </c>
      <c r="C194" s="379" t="s">
        <v>559</v>
      </c>
      <c r="D194" s="379" t="s">
        <v>555</v>
      </c>
      <c r="E194" s="379" t="s">
        <v>389</v>
      </c>
      <c r="F194" s="379" t="s">
        <v>556</v>
      </c>
      <c r="G194" s="380">
        <v>3443</v>
      </c>
    </row>
    <row r="195" spans="2:7">
      <c r="B195" s="381" t="s">
        <v>553</v>
      </c>
      <c r="C195" s="382" t="s">
        <v>559</v>
      </c>
      <c r="D195" s="382" t="s">
        <v>555</v>
      </c>
      <c r="E195" s="382" t="s">
        <v>558</v>
      </c>
      <c r="F195" s="382" t="s">
        <v>556</v>
      </c>
      <c r="G195" s="383">
        <v>10900</v>
      </c>
    </row>
    <row r="196" spans="2:7">
      <c r="B196" s="378" t="s">
        <v>553</v>
      </c>
      <c r="C196" s="379" t="s">
        <v>560</v>
      </c>
      <c r="D196" s="379" t="s">
        <v>555</v>
      </c>
      <c r="E196" s="379" t="s">
        <v>399</v>
      </c>
      <c r="F196" s="379" t="s">
        <v>556</v>
      </c>
      <c r="G196" s="380">
        <v>31507</v>
      </c>
    </row>
    <row r="197" spans="2:7">
      <c r="B197" s="381" t="s">
        <v>553</v>
      </c>
      <c r="C197" s="382" t="s">
        <v>560</v>
      </c>
      <c r="D197" s="382" t="s">
        <v>555</v>
      </c>
      <c r="E197" s="382" t="s">
        <v>391</v>
      </c>
      <c r="F197" s="382" t="s">
        <v>556</v>
      </c>
      <c r="G197" s="383">
        <v>36208</v>
      </c>
    </row>
    <row r="198" spans="2:7">
      <c r="B198" s="378" t="s">
        <v>553</v>
      </c>
      <c r="C198" s="379" t="s">
        <v>560</v>
      </c>
      <c r="D198" s="379" t="s">
        <v>555</v>
      </c>
      <c r="E198" s="379" t="s">
        <v>557</v>
      </c>
      <c r="F198" s="379" t="s">
        <v>556</v>
      </c>
      <c r="G198" s="380">
        <v>0</v>
      </c>
    </row>
    <row r="199" spans="2:7">
      <c r="B199" s="381" t="s">
        <v>553</v>
      </c>
      <c r="C199" s="382" t="s">
        <v>560</v>
      </c>
      <c r="D199" s="382" t="s">
        <v>555</v>
      </c>
      <c r="E199" s="382" t="s">
        <v>389</v>
      </c>
      <c r="F199" s="382" t="s">
        <v>556</v>
      </c>
      <c r="G199" s="383">
        <v>3940</v>
      </c>
    </row>
    <row r="200" spans="2:7">
      <c r="B200" s="378" t="s">
        <v>553</v>
      </c>
      <c r="C200" s="379" t="s">
        <v>560</v>
      </c>
      <c r="D200" s="379" t="s">
        <v>555</v>
      </c>
      <c r="E200" s="379" t="s">
        <v>558</v>
      </c>
      <c r="F200" s="379" t="s">
        <v>556</v>
      </c>
      <c r="G200" s="380">
        <v>12654</v>
      </c>
    </row>
    <row r="201" spans="2:7">
      <c r="B201" s="381" t="s">
        <v>553</v>
      </c>
      <c r="C201" s="382" t="s">
        <v>561</v>
      </c>
      <c r="D201" s="382" t="s">
        <v>555</v>
      </c>
      <c r="E201" s="382" t="s">
        <v>399</v>
      </c>
      <c r="F201" s="382" t="s">
        <v>556</v>
      </c>
      <c r="G201" s="383">
        <v>32950</v>
      </c>
    </row>
    <row r="202" spans="2:7">
      <c r="B202" s="378" t="s">
        <v>553</v>
      </c>
      <c r="C202" s="379" t="s">
        <v>561</v>
      </c>
      <c r="D202" s="379" t="s">
        <v>555</v>
      </c>
      <c r="E202" s="379" t="s">
        <v>391</v>
      </c>
      <c r="F202" s="379" t="s">
        <v>556</v>
      </c>
      <c r="G202" s="380">
        <v>34396</v>
      </c>
    </row>
    <row r="203" spans="2:7">
      <c r="B203" s="381" t="s">
        <v>553</v>
      </c>
      <c r="C203" s="382" t="s">
        <v>561</v>
      </c>
      <c r="D203" s="382" t="s">
        <v>555</v>
      </c>
      <c r="E203" s="382" t="s">
        <v>557</v>
      </c>
      <c r="F203" s="382" t="s">
        <v>556</v>
      </c>
      <c r="G203" s="383">
        <v>292</v>
      </c>
    </row>
    <row r="204" spans="2:7">
      <c r="B204" s="378" t="s">
        <v>553</v>
      </c>
      <c r="C204" s="379" t="s">
        <v>561</v>
      </c>
      <c r="D204" s="379" t="s">
        <v>555</v>
      </c>
      <c r="E204" s="379" t="s">
        <v>389</v>
      </c>
      <c r="F204" s="379" t="s">
        <v>556</v>
      </c>
      <c r="G204" s="380">
        <v>8554</v>
      </c>
    </row>
    <row r="205" spans="2:7">
      <c r="B205" s="381" t="s">
        <v>553</v>
      </c>
      <c r="C205" s="382" t="s">
        <v>561</v>
      </c>
      <c r="D205" s="382" t="s">
        <v>555</v>
      </c>
      <c r="E205" s="382" t="s">
        <v>558</v>
      </c>
      <c r="F205" s="382" t="s">
        <v>556</v>
      </c>
      <c r="G205" s="383">
        <v>25661</v>
      </c>
    </row>
    <row r="206" spans="2:7">
      <c r="B206" s="378" t="s">
        <v>553</v>
      </c>
      <c r="C206" s="379" t="s">
        <v>562</v>
      </c>
      <c r="D206" s="379" t="s">
        <v>555</v>
      </c>
      <c r="E206" s="379" t="s">
        <v>399</v>
      </c>
      <c r="F206" s="379" t="s">
        <v>556</v>
      </c>
      <c r="G206" s="380">
        <v>30627</v>
      </c>
    </row>
    <row r="207" spans="2:7">
      <c r="B207" s="381" t="s">
        <v>553</v>
      </c>
      <c r="C207" s="382" t="s">
        <v>562</v>
      </c>
      <c r="D207" s="382" t="s">
        <v>555</v>
      </c>
      <c r="E207" s="382" t="s">
        <v>391</v>
      </c>
      <c r="F207" s="382" t="s">
        <v>556</v>
      </c>
      <c r="G207" s="383">
        <v>27188</v>
      </c>
    </row>
    <row r="208" spans="2:7">
      <c r="B208" s="378" t="s">
        <v>553</v>
      </c>
      <c r="C208" s="379" t="s">
        <v>562</v>
      </c>
      <c r="D208" s="379" t="s">
        <v>555</v>
      </c>
      <c r="E208" s="379" t="s">
        <v>557</v>
      </c>
      <c r="F208" s="379" t="s">
        <v>556</v>
      </c>
      <c r="G208" s="380">
        <v>717</v>
      </c>
    </row>
    <row r="209" spans="2:8">
      <c r="B209" s="381" t="s">
        <v>553</v>
      </c>
      <c r="C209" s="382" t="s">
        <v>562</v>
      </c>
      <c r="D209" s="382" t="s">
        <v>555</v>
      </c>
      <c r="E209" s="382" t="s">
        <v>389</v>
      </c>
      <c r="F209" s="382" t="s">
        <v>556</v>
      </c>
      <c r="G209" s="383">
        <v>15462</v>
      </c>
    </row>
    <row r="210" spans="2:8">
      <c r="B210" s="372" t="s">
        <v>553</v>
      </c>
      <c r="C210" s="373" t="s">
        <v>562</v>
      </c>
      <c r="D210" s="373" t="s">
        <v>555</v>
      </c>
      <c r="E210" s="373" t="s">
        <v>558</v>
      </c>
      <c r="F210" s="373" t="s">
        <v>556</v>
      </c>
      <c r="G210" s="374">
        <v>27355</v>
      </c>
    </row>
    <row r="211" spans="2:8">
      <c r="C211" s="386">
        <v>2023</v>
      </c>
      <c r="E211" t="str">
        <f>E206</f>
        <v>Petrol</v>
      </c>
      <c r="G211" s="388">
        <v>38000</v>
      </c>
      <c r="H211" t="s">
        <v>565</v>
      </c>
    </row>
    <row r="212" spans="2:8">
      <c r="C212" s="386">
        <v>2023</v>
      </c>
      <c r="E212" t="str">
        <f t="shared" ref="E212:E213" si="0">E207</f>
        <v>Diesel</v>
      </c>
      <c r="G212" s="31">
        <f>G211*G207/G206</f>
        <v>33733.111307016683</v>
      </c>
      <c r="H212" t="s">
        <v>565</v>
      </c>
    </row>
    <row r="213" spans="2:8">
      <c r="C213" s="386">
        <v>2023</v>
      </c>
      <c r="E213" t="str">
        <f t="shared" si="0"/>
        <v>Other fuel types</v>
      </c>
      <c r="H213" t="s">
        <v>565</v>
      </c>
    </row>
    <row r="214" spans="2:8">
      <c r="C214" s="386">
        <v>2023</v>
      </c>
      <c r="E214" t="str">
        <f>E209</f>
        <v>Electric</v>
      </c>
      <c r="G214">
        <v>23000</v>
      </c>
      <c r="H214" t="s">
        <v>565</v>
      </c>
    </row>
    <row r="215" spans="2:8">
      <c r="C215" s="386">
        <v>2023</v>
      </c>
      <c r="E215" t="str">
        <f>E210</f>
        <v>Hybrid</v>
      </c>
      <c r="G215">
        <v>30000</v>
      </c>
      <c r="H215" t="s">
        <v>565</v>
      </c>
    </row>
    <row r="219" spans="2:8">
      <c r="B219" s="387"/>
    </row>
    <row r="227" spans="2:8">
      <c r="B227" s="375" t="s">
        <v>567</v>
      </c>
      <c r="C227" s="376" t="s">
        <v>226</v>
      </c>
      <c r="D227" s="376" t="s">
        <v>568</v>
      </c>
      <c r="E227" s="376" t="s">
        <v>569</v>
      </c>
      <c r="F227" s="376" t="s">
        <v>570</v>
      </c>
      <c r="G227" s="376" t="s">
        <v>551</v>
      </c>
      <c r="H227" s="377" t="s">
        <v>552</v>
      </c>
    </row>
    <row r="228" spans="2:8">
      <c r="B228" s="378" t="s">
        <v>571</v>
      </c>
      <c r="C228" s="379" t="s">
        <v>554</v>
      </c>
      <c r="D228" s="379" t="s">
        <v>572</v>
      </c>
      <c r="E228" s="379" t="s">
        <v>573</v>
      </c>
      <c r="F228" s="379" t="s">
        <v>574</v>
      </c>
      <c r="G228" s="379" t="s">
        <v>556</v>
      </c>
      <c r="H228" s="380">
        <v>25459</v>
      </c>
    </row>
    <row r="229" spans="2:8">
      <c r="B229" s="381" t="s">
        <v>571</v>
      </c>
      <c r="C229" s="382" t="s">
        <v>554</v>
      </c>
      <c r="D229" s="382" t="s">
        <v>572</v>
      </c>
      <c r="E229" s="382" t="s">
        <v>575</v>
      </c>
      <c r="F229" s="382" t="s">
        <v>574</v>
      </c>
      <c r="G229" s="382" t="s">
        <v>556</v>
      </c>
      <c r="H229" s="383">
        <v>4</v>
      </c>
    </row>
    <row r="230" spans="2:8">
      <c r="B230" s="378" t="s">
        <v>571</v>
      </c>
      <c r="C230" s="379" t="s">
        <v>554</v>
      </c>
      <c r="D230" s="379" t="s">
        <v>572</v>
      </c>
      <c r="E230" s="379" t="s">
        <v>576</v>
      </c>
      <c r="F230" s="379" t="s">
        <v>574</v>
      </c>
      <c r="G230" s="379" t="s">
        <v>556</v>
      </c>
      <c r="H230" s="380">
        <v>3</v>
      </c>
    </row>
    <row r="231" spans="2:8">
      <c r="B231" s="381" t="s">
        <v>571</v>
      </c>
      <c r="C231" s="382" t="s">
        <v>554</v>
      </c>
      <c r="D231" s="382" t="s">
        <v>572</v>
      </c>
      <c r="E231" s="382" t="s">
        <v>577</v>
      </c>
      <c r="F231" s="382" t="s">
        <v>574</v>
      </c>
      <c r="G231" s="382" t="s">
        <v>556</v>
      </c>
      <c r="H231" s="383">
        <v>705</v>
      </c>
    </row>
    <row r="232" spans="2:8">
      <c r="B232" s="378" t="s">
        <v>571</v>
      </c>
      <c r="C232" s="379" t="s">
        <v>554</v>
      </c>
      <c r="D232" s="379" t="s">
        <v>572</v>
      </c>
      <c r="E232" s="379" t="s">
        <v>578</v>
      </c>
      <c r="F232" s="379" t="s">
        <v>574</v>
      </c>
      <c r="G232" s="379" t="s">
        <v>556</v>
      </c>
      <c r="H232" s="380">
        <v>7746</v>
      </c>
    </row>
    <row r="233" spans="2:8">
      <c r="B233" s="381" t="s">
        <v>571</v>
      </c>
      <c r="C233" s="382" t="s">
        <v>554</v>
      </c>
      <c r="D233" s="382" t="s">
        <v>572</v>
      </c>
      <c r="E233" s="382" t="s">
        <v>579</v>
      </c>
      <c r="F233" s="382" t="s">
        <v>574</v>
      </c>
      <c r="G233" s="382" t="s">
        <v>556</v>
      </c>
      <c r="H233" s="383">
        <v>7598</v>
      </c>
    </row>
    <row r="234" spans="2:8">
      <c r="B234" s="378" t="s">
        <v>571</v>
      </c>
      <c r="C234" s="379" t="s">
        <v>554</v>
      </c>
      <c r="D234" s="379" t="s">
        <v>572</v>
      </c>
      <c r="E234" s="379" t="s">
        <v>580</v>
      </c>
      <c r="F234" s="379" t="s">
        <v>574</v>
      </c>
      <c r="G234" s="379" t="s">
        <v>556</v>
      </c>
      <c r="H234" s="380">
        <v>7429</v>
      </c>
    </row>
    <row r="235" spans="2:8">
      <c r="B235" s="381" t="s">
        <v>571</v>
      </c>
      <c r="C235" s="382" t="s">
        <v>554</v>
      </c>
      <c r="D235" s="382" t="s">
        <v>572</v>
      </c>
      <c r="E235" s="382" t="s">
        <v>581</v>
      </c>
      <c r="F235" s="382" t="s">
        <v>574</v>
      </c>
      <c r="G235" s="382" t="s">
        <v>556</v>
      </c>
      <c r="H235" s="383">
        <v>293</v>
      </c>
    </row>
    <row r="236" spans="2:8">
      <c r="B236" s="378" t="s">
        <v>571</v>
      </c>
      <c r="C236" s="379" t="s">
        <v>554</v>
      </c>
      <c r="D236" s="379" t="s">
        <v>572</v>
      </c>
      <c r="E236" s="379" t="s">
        <v>582</v>
      </c>
      <c r="F236" s="379" t="s">
        <v>574</v>
      </c>
      <c r="G236" s="379" t="s">
        <v>556</v>
      </c>
      <c r="H236" s="380">
        <v>1681</v>
      </c>
    </row>
    <row r="237" spans="2:8">
      <c r="B237" s="381" t="s">
        <v>571</v>
      </c>
      <c r="C237" s="382" t="s">
        <v>559</v>
      </c>
      <c r="D237" s="382" t="s">
        <v>572</v>
      </c>
      <c r="E237" s="382" t="s">
        <v>573</v>
      </c>
      <c r="F237" s="382" t="s">
        <v>574</v>
      </c>
      <c r="G237" s="382" t="s">
        <v>556</v>
      </c>
      <c r="H237" s="383">
        <v>24645</v>
      </c>
    </row>
    <row r="238" spans="2:8">
      <c r="B238" s="378" t="s">
        <v>571</v>
      </c>
      <c r="C238" s="379" t="s">
        <v>559</v>
      </c>
      <c r="D238" s="379" t="s">
        <v>572</v>
      </c>
      <c r="E238" s="379" t="s">
        <v>575</v>
      </c>
      <c r="F238" s="379" t="s">
        <v>574</v>
      </c>
      <c r="G238" s="379" t="s">
        <v>556</v>
      </c>
      <c r="H238" s="380">
        <v>3</v>
      </c>
    </row>
    <row r="239" spans="2:8">
      <c r="B239" s="381" t="s">
        <v>571</v>
      </c>
      <c r="C239" s="382" t="s">
        <v>559</v>
      </c>
      <c r="D239" s="382" t="s">
        <v>572</v>
      </c>
      <c r="E239" s="382" t="s">
        <v>576</v>
      </c>
      <c r="F239" s="382" t="s">
        <v>574</v>
      </c>
      <c r="G239" s="382" t="s">
        <v>556</v>
      </c>
      <c r="H239" s="383">
        <v>13</v>
      </c>
    </row>
    <row r="240" spans="2:8">
      <c r="B240" s="378" t="s">
        <v>571</v>
      </c>
      <c r="C240" s="379" t="s">
        <v>559</v>
      </c>
      <c r="D240" s="379" t="s">
        <v>572</v>
      </c>
      <c r="E240" s="379" t="s">
        <v>577</v>
      </c>
      <c r="F240" s="379" t="s">
        <v>574</v>
      </c>
      <c r="G240" s="379" t="s">
        <v>556</v>
      </c>
      <c r="H240" s="380">
        <v>925</v>
      </c>
    </row>
    <row r="241" spans="2:8">
      <c r="B241" s="381" t="s">
        <v>571</v>
      </c>
      <c r="C241" s="382" t="s">
        <v>559</v>
      </c>
      <c r="D241" s="382" t="s">
        <v>572</v>
      </c>
      <c r="E241" s="382" t="s">
        <v>578</v>
      </c>
      <c r="F241" s="382" t="s">
        <v>574</v>
      </c>
      <c r="G241" s="382" t="s">
        <v>556</v>
      </c>
      <c r="H241" s="383">
        <v>6705</v>
      </c>
    </row>
    <row r="242" spans="2:8">
      <c r="B242" s="378" t="s">
        <v>571</v>
      </c>
      <c r="C242" s="379" t="s">
        <v>559</v>
      </c>
      <c r="D242" s="379" t="s">
        <v>572</v>
      </c>
      <c r="E242" s="379" t="s">
        <v>579</v>
      </c>
      <c r="F242" s="379" t="s">
        <v>574</v>
      </c>
      <c r="G242" s="379" t="s">
        <v>556</v>
      </c>
      <c r="H242" s="380">
        <v>8154</v>
      </c>
    </row>
    <row r="243" spans="2:8">
      <c r="B243" s="381" t="s">
        <v>571</v>
      </c>
      <c r="C243" s="382" t="s">
        <v>559</v>
      </c>
      <c r="D243" s="382" t="s">
        <v>572</v>
      </c>
      <c r="E243" s="382" t="s">
        <v>580</v>
      </c>
      <c r="F243" s="382" t="s">
        <v>574</v>
      </c>
      <c r="G243" s="382" t="s">
        <v>556</v>
      </c>
      <c r="H243" s="383">
        <v>6946</v>
      </c>
    </row>
    <row r="244" spans="2:8">
      <c r="B244" s="378" t="s">
        <v>571</v>
      </c>
      <c r="C244" s="379" t="s">
        <v>559</v>
      </c>
      <c r="D244" s="379" t="s">
        <v>572</v>
      </c>
      <c r="E244" s="379" t="s">
        <v>581</v>
      </c>
      <c r="F244" s="379" t="s">
        <v>574</v>
      </c>
      <c r="G244" s="379" t="s">
        <v>556</v>
      </c>
      <c r="H244" s="380">
        <v>279</v>
      </c>
    </row>
    <row r="245" spans="2:8">
      <c r="B245" s="381" t="s">
        <v>571</v>
      </c>
      <c r="C245" s="382" t="s">
        <v>559</v>
      </c>
      <c r="D245" s="382" t="s">
        <v>572</v>
      </c>
      <c r="E245" s="382" t="s">
        <v>582</v>
      </c>
      <c r="F245" s="382" t="s">
        <v>574</v>
      </c>
      <c r="G245" s="382" t="s">
        <v>556</v>
      </c>
      <c r="H245" s="383">
        <v>1620</v>
      </c>
    </row>
    <row r="246" spans="2:8">
      <c r="B246" s="378" t="s">
        <v>571</v>
      </c>
      <c r="C246" s="379" t="s">
        <v>560</v>
      </c>
      <c r="D246" s="379" t="s">
        <v>572</v>
      </c>
      <c r="E246" s="379" t="s">
        <v>573</v>
      </c>
      <c r="F246" s="379" t="s">
        <v>574</v>
      </c>
      <c r="G246" s="379" t="s">
        <v>556</v>
      </c>
      <c r="H246" s="380">
        <v>21495</v>
      </c>
    </row>
    <row r="247" spans="2:8">
      <c r="B247" s="381" t="s">
        <v>571</v>
      </c>
      <c r="C247" s="382" t="s">
        <v>560</v>
      </c>
      <c r="D247" s="382" t="s">
        <v>572</v>
      </c>
      <c r="E247" s="382" t="s">
        <v>575</v>
      </c>
      <c r="F247" s="382" t="s">
        <v>574</v>
      </c>
      <c r="G247" s="382" t="s">
        <v>556</v>
      </c>
      <c r="H247" s="383">
        <v>2</v>
      </c>
    </row>
    <row r="248" spans="2:8">
      <c r="B248" s="378" t="s">
        <v>571</v>
      </c>
      <c r="C248" s="379" t="s">
        <v>560</v>
      </c>
      <c r="D248" s="379" t="s">
        <v>572</v>
      </c>
      <c r="E248" s="379" t="s">
        <v>576</v>
      </c>
      <c r="F248" s="379" t="s">
        <v>574</v>
      </c>
      <c r="G248" s="379" t="s">
        <v>556</v>
      </c>
      <c r="H248" s="380">
        <v>11</v>
      </c>
    </row>
    <row r="249" spans="2:8">
      <c r="B249" s="381" t="s">
        <v>571</v>
      </c>
      <c r="C249" s="382" t="s">
        <v>560</v>
      </c>
      <c r="D249" s="382" t="s">
        <v>572</v>
      </c>
      <c r="E249" s="382" t="s">
        <v>577</v>
      </c>
      <c r="F249" s="382" t="s">
        <v>574</v>
      </c>
      <c r="G249" s="382" t="s">
        <v>556</v>
      </c>
      <c r="H249" s="383">
        <v>457</v>
      </c>
    </row>
    <row r="250" spans="2:8">
      <c r="B250" s="378" t="s">
        <v>571</v>
      </c>
      <c r="C250" s="379" t="s">
        <v>560</v>
      </c>
      <c r="D250" s="379" t="s">
        <v>572</v>
      </c>
      <c r="E250" s="379" t="s">
        <v>578</v>
      </c>
      <c r="F250" s="379" t="s">
        <v>574</v>
      </c>
      <c r="G250" s="379" t="s">
        <v>556</v>
      </c>
      <c r="H250" s="380">
        <v>5152</v>
      </c>
    </row>
    <row r="251" spans="2:8">
      <c r="B251" s="381" t="s">
        <v>571</v>
      </c>
      <c r="C251" s="382" t="s">
        <v>560</v>
      </c>
      <c r="D251" s="382" t="s">
        <v>572</v>
      </c>
      <c r="E251" s="382" t="s">
        <v>579</v>
      </c>
      <c r="F251" s="382" t="s">
        <v>574</v>
      </c>
      <c r="G251" s="382" t="s">
        <v>556</v>
      </c>
      <c r="H251" s="383">
        <v>6344</v>
      </c>
    </row>
    <row r="252" spans="2:8">
      <c r="B252" s="378" t="s">
        <v>571</v>
      </c>
      <c r="C252" s="379" t="s">
        <v>560</v>
      </c>
      <c r="D252" s="379" t="s">
        <v>572</v>
      </c>
      <c r="E252" s="379" t="s">
        <v>580</v>
      </c>
      <c r="F252" s="379" t="s">
        <v>574</v>
      </c>
      <c r="G252" s="379" t="s">
        <v>556</v>
      </c>
      <c r="H252" s="380">
        <v>7793</v>
      </c>
    </row>
    <row r="253" spans="2:8">
      <c r="B253" s="381" t="s">
        <v>571</v>
      </c>
      <c r="C253" s="382" t="s">
        <v>560</v>
      </c>
      <c r="D253" s="382" t="s">
        <v>572</v>
      </c>
      <c r="E253" s="382" t="s">
        <v>581</v>
      </c>
      <c r="F253" s="382" t="s">
        <v>574</v>
      </c>
      <c r="G253" s="382" t="s">
        <v>556</v>
      </c>
      <c r="H253" s="383">
        <v>194</v>
      </c>
    </row>
    <row r="254" spans="2:8">
      <c r="B254" s="378" t="s">
        <v>571</v>
      </c>
      <c r="C254" s="379" t="s">
        <v>560</v>
      </c>
      <c r="D254" s="379" t="s">
        <v>572</v>
      </c>
      <c r="E254" s="379" t="s">
        <v>582</v>
      </c>
      <c r="F254" s="379" t="s">
        <v>574</v>
      </c>
      <c r="G254" s="379" t="s">
        <v>556</v>
      </c>
      <c r="H254" s="380">
        <v>1542</v>
      </c>
    </row>
    <row r="255" spans="2:8">
      <c r="B255" s="381" t="s">
        <v>571</v>
      </c>
      <c r="C255" s="382" t="s">
        <v>561</v>
      </c>
      <c r="D255" s="382" t="s">
        <v>572</v>
      </c>
      <c r="E255" s="382" t="s">
        <v>573</v>
      </c>
      <c r="F255" s="382" t="s">
        <v>574</v>
      </c>
      <c r="G255" s="382" t="s">
        <v>556</v>
      </c>
      <c r="H255" s="383">
        <v>28387</v>
      </c>
    </row>
    <row r="256" spans="2:8">
      <c r="B256" s="378" t="s">
        <v>571</v>
      </c>
      <c r="C256" s="379" t="s">
        <v>561</v>
      </c>
      <c r="D256" s="379" t="s">
        <v>572</v>
      </c>
      <c r="E256" s="379" t="s">
        <v>575</v>
      </c>
      <c r="F256" s="379" t="s">
        <v>574</v>
      </c>
      <c r="G256" s="379" t="s">
        <v>556</v>
      </c>
      <c r="H256" s="380">
        <v>7</v>
      </c>
    </row>
    <row r="257" spans="2:8">
      <c r="B257" s="381" t="s">
        <v>571</v>
      </c>
      <c r="C257" s="382" t="s">
        <v>561</v>
      </c>
      <c r="D257" s="382" t="s">
        <v>572</v>
      </c>
      <c r="E257" s="382" t="s">
        <v>576</v>
      </c>
      <c r="F257" s="382" t="s">
        <v>574</v>
      </c>
      <c r="G257" s="382" t="s">
        <v>556</v>
      </c>
      <c r="H257" s="383">
        <v>27</v>
      </c>
    </row>
    <row r="258" spans="2:8">
      <c r="B258" s="378" t="s">
        <v>571</v>
      </c>
      <c r="C258" s="379" t="s">
        <v>561</v>
      </c>
      <c r="D258" s="379" t="s">
        <v>572</v>
      </c>
      <c r="E258" s="379" t="s">
        <v>577</v>
      </c>
      <c r="F258" s="379" t="s">
        <v>574</v>
      </c>
      <c r="G258" s="379" t="s">
        <v>556</v>
      </c>
      <c r="H258" s="380">
        <v>217</v>
      </c>
    </row>
    <row r="259" spans="2:8">
      <c r="B259" s="381" t="s">
        <v>571</v>
      </c>
      <c r="C259" s="382" t="s">
        <v>561</v>
      </c>
      <c r="D259" s="382" t="s">
        <v>572</v>
      </c>
      <c r="E259" s="382" t="s">
        <v>578</v>
      </c>
      <c r="F259" s="382" t="s">
        <v>574</v>
      </c>
      <c r="G259" s="382" t="s">
        <v>556</v>
      </c>
      <c r="H259" s="383">
        <v>6726</v>
      </c>
    </row>
    <row r="260" spans="2:8">
      <c r="B260" s="378" t="s">
        <v>571</v>
      </c>
      <c r="C260" s="379" t="s">
        <v>561</v>
      </c>
      <c r="D260" s="379" t="s">
        <v>572</v>
      </c>
      <c r="E260" s="379" t="s">
        <v>579</v>
      </c>
      <c r="F260" s="379" t="s">
        <v>574</v>
      </c>
      <c r="G260" s="379" t="s">
        <v>556</v>
      </c>
      <c r="H260" s="380">
        <v>8180</v>
      </c>
    </row>
    <row r="261" spans="2:8">
      <c r="B261" s="381" t="s">
        <v>571</v>
      </c>
      <c r="C261" s="382" t="s">
        <v>561</v>
      </c>
      <c r="D261" s="382" t="s">
        <v>572</v>
      </c>
      <c r="E261" s="382" t="s">
        <v>580</v>
      </c>
      <c r="F261" s="382" t="s">
        <v>574</v>
      </c>
      <c r="G261" s="382" t="s">
        <v>556</v>
      </c>
      <c r="H261" s="383">
        <v>11264</v>
      </c>
    </row>
    <row r="262" spans="2:8">
      <c r="B262" s="378" t="s">
        <v>571</v>
      </c>
      <c r="C262" s="379" t="s">
        <v>561</v>
      </c>
      <c r="D262" s="379" t="s">
        <v>572</v>
      </c>
      <c r="E262" s="379" t="s">
        <v>581</v>
      </c>
      <c r="F262" s="379" t="s">
        <v>574</v>
      </c>
      <c r="G262" s="379" t="s">
        <v>556</v>
      </c>
      <c r="H262" s="380">
        <v>222</v>
      </c>
    </row>
    <row r="263" spans="2:8">
      <c r="B263" s="381" t="s">
        <v>571</v>
      </c>
      <c r="C263" s="382" t="s">
        <v>561</v>
      </c>
      <c r="D263" s="382" t="s">
        <v>572</v>
      </c>
      <c r="E263" s="382" t="s">
        <v>582</v>
      </c>
      <c r="F263" s="382" t="s">
        <v>574</v>
      </c>
      <c r="G263" s="382" t="s">
        <v>556</v>
      </c>
      <c r="H263" s="383">
        <v>1744</v>
      </c>
    </row>
    <row r="264" spans="2:8">
      <c r="B264" s="378" t="s">
        <v>571</v>
      </c>
      <c r="C264" s="379" t="s">
        <v>562</v>
      </c>
      <c r="D264" s="379" t="s">
        <v>572</v>
      </c>
      <c r="E264" s="379" t="s">
        <v>573</v>
      </c>
      <c r="F264" s="379" t="s">
        <v>574</v>
      </c>
      <c r="G264" s="379" t="s">
        <v>556</v>
      </c>
      <c r="H264" s="380">
        <v>23655</v>
      </c>
    </row>
    <row r="265" spans="2:8">
      <c r="B265" s="381" t="s">
        <v>571</v>
      </c>
      <c r="C265" s="382" t="s">
        <v>562</v>
      </c>
      <c r="D265" s="382" t="s">
        <v>572</v>
      </c>
      <c r="E265" s="382" t="s">
        <v>575</v>
      </c>
      <c r="F265" s="382" t="s">
        <v>574</v>
      </c>
      <c r="G265" s="382" t="s">
        <v>556</v>
      </c>
      <c r="H265" s="383">
        <v>3</v>
      </c>
    </row>
    <row r="266" spans="2:8">
      <c r="B266" s="378" t="s">
        <v>571</v>
      </c>
      <c r="C266" s="379" t="s">
        <v>562</v>
      </c>
      <c r="D266" s="379" t="s">
        <v>572</v>
      </c>
      <c r="E266" s="379" t="s">
        <v>576</v>
      </c>
      <c r="F266" s="379" t="s">
        <v>574</v>
      </c>
      <c r="G266" s="379" t="s">
        <v>556</v>
      </c>
      <c r="H266" s="380">
        <v>11</v>
      </c>
    </row>
    <row r="267" spans="2:8">
      <c r="B267" s="381" t="s">
        <v>571</v>
      </c>
      <c r="C267" s="382" t="s">
        <v>562</v>
      </c>
      <c r="D267" s="382" t="s">
        <v>572</v>
      </c>
      <c r="E267" s="382" t="s">
        <v>577</v>
      </c>
      <c r="F267" s="382" t="s">
        <v>574</v>
      </c>
      <c r="G267" s="382" t="s">
        <v>556</v>
      </c>
      <c r="H267" s="383">
        <v>348</v>
      </c>
    </row>
    <row r="268" spans="2:8">
      <c r="B268" s="378" t="s">
        <v>571</v>
      </c>
      <c r="C268" s="379" t="s">
        <v>562</v>
      </c>
      <c r="D268" s="379" t="s">
        <v>572</v>
      </c>
      <c r="E268" s="379" t="s">
        <v>578</v>
      </c>
      <c r="F268" s="379" t="s">
        <v>574</v>
      </c>
      <c r="G268" s="379" t="s">
        <v>556</v>
      </c>
      <c r="H268" s="380">
        <v>4830</v>
      </c>
    </row>
    <row r="269" spans="2:8">
      <c r="B269" s="381" t="s">
        <v>571</v>
      </c>
      <c r="C269" s="382" t="s">
        <v>562</v>
      </c>
      <c r="D269" s="382" t="s">
        <v>572</v>
      </c>
      <c r="E269" s="382" t="s">
        <v>579</v>
      </c>
      <c r="F269" s="382" t="s">
        <v>574</v>
      </c>
      <c r="G269" s="382" t="s">
        <v>556</v>
      </c>
      <c r="H269" s="383">
        <v>7243</v>
      </c>
    </row>
    <row r="270" spans="2:8">
      <c r="B270" s="378" t="s">
        <v>571</v>
      </c>
      <c r="C270" s="379" t="s">
        <v>562</v>
      </c>
      <c r="D270" s="379" t="s">
        <v>572</v>
      </c>
      <c r="E270" s="379" t="s">
        <v>580</v>
      </c>
      <c r="F270" s="379" t="s">
        <v>574</v>
      </c>
      <c r="G270" s="379" t="s">
        <v>556</v>
      </c>
      <c r="H270" s="380">
        <v>9199</v>
      </c>
    </row>
    <row r="271" spans="2:8">
      <c r="B271" s="381" t="s">
        <v>571</v>
      </c>
      <c r="C271" s="382" t="s">
        <v>562</v>
      </c>
      <c r="D271" s="382" t="s">
        <v>572</v>
      </c>
      <c r="E271" s="382" t="s">
        <v>581</v>
      </c>
      <c r="F271" s="382" t="s">
        <v>574</v>
      </c>
      <c r="G271" s="382" t="s">
        <v>556</v>
      </c>
      <c r="H271" s="383">
        <v>224</v>
      </c>
    </row>
    <row r="272" spans="2:8">
      <c r="B272" s="372" t="s">
        <v>571</v>
      </c>
      <c r="C272" s="373" t="s">
        <v>562</v>
      </c>
      <c r="D272" s="373" t="s">
        <v>572</v>
      </c>
      <c r="E272" s="373" t="s">
        <v>582</v>
      </c>
      <c r="F272" s="373" t="s">
        <v>574</v>
      </c>
      <c r="G272" s="373" t="s">
        <v>556</v>
      </c>
      <c r="H272" s="374">
        <v>1797</v>
      </c>
    </row>
    <row r="279" spans="2:7">
      <c r="B279" s="375" t="s">
        <v>548</v>
      </c>
      <c r="C279" s="376" t="s">
        <v>226</v>
      </c>
      <c r="D279" s="376" t="s">
        <v>549</v>
      </c>
      <c r="E279" s="376" t="s">
        <v>550</v>
      </c>
      <c r="F279" s="376" t="s">
        <v>551</v>
      </c>
      <c r="G279" s="377" t="s">
        <v>552</v>
      </c>
    </row>
    <row r="280" spans="2:7">
      <c r="B280" s="378" t="s">
        <v>553</v>
      </c>
      <c r="C280" s="379" t="s">
        <v>554</v>
      </c>
      <c r="D280" s="379" t="s">
        <v>571</v>
      </c>
      <c r="E280" s="379" t="s">
        <v>399</v>
      </c>
      <c r="F280" s="379" t="s">
        <v>556</v>
      </c>
      <c r="G280" s="380">
        <v>8</v>
      </c>
    </row>
    <row r="281" spans="2:7">
      <c r="B281" s="381" t="s">
        <v>553</v>
      </c>
      <c r="C281" s="382" t="s">
        <v>554</v>
      </c>
      <c r="D281" s="382" t="s">
        <v>571</v>
      </c>
      <c r="E281" s="382" t="s">
        <v>391</v>
      </c>
      <c r="F281" s="382" t="s">
        <v>556</v>
      </c>
      <c r="G281" s="383">
        <v>25372</v>
      </c>
    </row>
    <row r="282" spans="2:7">
      <c r="B282" s="378" t="s">
        <v>553</v>
      </c>
      <c r="C282" s="379" t="s">
        <v>554</v>
      </c>
      <c r="D282" s="379" t="s">
        <v>571</v>
      </c>
      <c r="E282" s="379" t="s">
        <v>557</v>
      </c>
      <c r="F282" s="379" t="s">
        <v>556</v>
      </c>
      <c r="G282" s="380">
        <v>10</v>
      </c>
    </row>
    <row r="283" spans="2:7">
      <c r="B283" s="381" t="s">
        <v>553</v>
      </c>
      <c r="C283" s="382" t="s">
        <v>554</v>
      </c>
      <c r="D283" s="382" t="s">
        <v>571</v>
      </c>
      <c r="E283" s="382" t="s">
        <v>389</v>
      </c>
      <c r="F283" s="382" t="s">
        <v>556</v>
      </c>
      <c r="G283" s="383">
        <v>67</v>
      </c>
    </row>
    <row r="284" spans="2:7">
      <c r="B284" s="378" t="s">
        <v>553</v>
      </c>
      <c r="C284" s="379" t="s">
        <v>554</v>
      </c>
      <c r="D284" s="379" t="s">
        <v>571</v>
      </c>
      <c r="E284" s="379" t="s">
        <v>558</v>
      </c>
      <c r="F284" s="379" t="s">
        <v>556</v>
      </c>
      <c r="G284" s="380">
        <v>2</v>
      </c>
    </row>
    <row r="285" spans="2:7">
      <c r="B285" s="381" t="s">
        <v>553</v>
      </c>
      <c r="C285" s="382" t="s">
        <v>559</v>
      </c>
      <c r="D285" s="382" t="s">
        <v>571</v>
      </c>
      <c r="E285" s="382" t="s">
        <v>399</v>
      </c>
      <c r="F285" s="382" t="s">
        <v>556</v>
      </c>
      <c r="G285" s="383">
        <v>10</v>
      </c>
    </row>
    <row r="286" spans="2:7">
      <c r="B286" s="378" t="s">
        <v>553</v>
      </c>
      <c r="C286" s="379" t="s">
        <v>559</v>
      </c>
      <c r="D286" s="379" t="s">
        <v>571</v>
      </c>
      <c r="E286" s="379" t="s">
        <v>391</v>
      </c>
      <c r="F286" s="379" t="s">
        <v>556</v>
      </c>
      <c r="G286" s="380">
        <v>24327</v>
      </c>
    </row>
    <row r="287" spans="2:7">
      <c r="B287" s="381" t="s">
        <v>553</v>
      </c>
      <c r="C287" s="382" t="s">
        <v>559</v>
      </c>
      <c r="D287" s="382" t="s">
        <v>571</v>
      </c>
      <c r="E287" s="382" t="s">
        <v>557</v>
      </c>
      <c r="F287" s="382" t="s">
        <v>556</v>
      </c>
      <c r="G287" s="383">
        <v>10</v>
      </c>
    </row>
    <row r="288" spans="2:7">
      <c r="B288" s="378" t="s">
        <v>553</v>
      </c>
      <c r="C288" s="379" t="s">
        <v>559</v>
      </c>
      <c r="D288" s="379" t="s">
        <v>571</v>
      </c>
      <c r="E288" s="379" t="s">
        <v>389</v>
      </c>
      <c r="F288" s="379" t="s">
        <v>556</v>
      </c>
      <c r="G288" s="380">
        <v>293</v>
      </c>
    </row>
    <row r="289" spans="2:7">
      <c r="B289" s="381" t="s">
        <v>553</v>
      </c>
      <c r="C289" s="382" t="s">
        <v>559</v>
      </c>
      <c r="D289" s="382" t="s">
        <v>571</v>
      </c>
      <c r="E289" s="382" t="s">
        <v>558</v>
      </c>
      <c r="F289" s="382" t="s">
        <v>556</v>
      </c>
      <c r="G289" s="383">
        <v>5</v>
      </c>
    </row>
    <row r="290" spans="2:7">
      <c r="B290" s="378" t="s">
        <v>553</v>
      </c>
      <c r="C290" s="379" t="s">
        <v>560</v>
      </c>
      <c r="D290" s="379" t="s">
        <v>571</v>
      </c>
      <c r="E290" s="379" t="s">
        <v>399</v>
      </c>
      <c r="F290" s="379" t="s">
        <v>556</v>
      </c>
      <c r="G290" s="380">
        <v>21</v>
      </c>
    </row>
    <row r="291" spans="2:7">
      <c r="B291" s="381" t="s">
        <v>553</v>
      </c>
      <c r="C291" s="382" t="s">
        <v>560</v>
      </c>
      <c r="D291" s="382" t="s">
        <v>571</v>
      </c>
      <c r="E291" s="382" t="s">
        <v>391</v>
      </c>
      <c r="F291" s="382" t="s">
        <v>556</v>
      </c>
      <c r="G291" s="383">
        <v>20977</v>
      </c>
    </row>
    <row r="292" spans="2:7">
      <c r="B292" s="378" t="s">
        <v>553</v>
      </c>
      <c r="C292" s="379" t="s">
        <v>560</v>
      </c>
      <c r="D292" s="379" t="s">
        <v>571</v>
      </c>
      <c r="E292" s="379" t="s">
        <v>557</v>
      </c>
      <c r="F292" s="379" t="s">
        <v>556</v>
      </c>
      <c r="G292" s="380">
        <v>19</v>
      </c>
    </row>
    <row r="293" spans="2:7">
      <c r="B293" s="381" t="s">
        <v>553</v>
      </c>
      <c r="C293" s="382" t="s">
        <v>560</v>
      </c>
      <c r="D293" s="382" t="s">
        <v>571</v>
      </c>
      <c r="E293" s="382" t="s">
        <v>389</v>
      </c>
      <c r="F293" s="382" t="s">
        <v>556</v>
      </c>
      <c r="G293" s="383">
        <v>443</v>
      </c>
    </row>
    <row r="294" spans="2:7">
      <c r="B294" s="378" t="s">
        <v>553</v>
      </c>
      <c r="C294" s="379" t="s">
        <v>560</v>
      </c>
      <c r="D294" s="379" t="s">
        <v>571</v>
      </c>
      <c r="E294" s="379" t="s">
        <v>558</v>
      </c>
      <c r="F294" s="379" t="s">
        <v>556</v>
      </c>
      <c r="G294" s="380">
        <v>35</v>
      </c>
    </row>
    <row r="295" spans="2:7">
      <c r="B295" s="381" t="s">
        <v>553</v>
      </c>
      <c r="C295" s="382" t="s">
        <v>561</v>
      </c>
      <c r="D295" s="382" t="s">
        <v>571</v>
      </c>
      <c r="E295" s="382" t="s">
        <v>399</v>
      </c>
      <c r="F295" s="382" t="s">
        <v>556</v>
      </c>
      <c r="G295" s="383">
        <v>28</v>
      </c>
    </row>
    <row r="296" spans="2:7">
      <c r="B296" s="378" t="s">
        <v>553</v>
      </c>
      <c r="C296" s="379" t="s">
        <v>561</v>
      </c>
      <c r="D296" s="379" t="s">
        <v>571</v>
      </c>
      <c r="E296" s="379" t="s">
        <v>391</v>
      </c>
      <c r="F296" s="379" t="s">
        <v>556</v>
      </c>
      <c r="G296" s="380">
        <v>27258</v>
      </c>
    </row>
    <row r="297" spans="2:7">
      <c r="B297" s="381" t="s">
        <v>553</v>
      </c>
      <c r="C297" s="382" t="s">
        <v>561</v>
      </c>
      <c r="D297" s="382" t="s">
        <v>571</v>
      </c>
      <c r="E297" s="382" t="s">
        <v>557</v>
      </c>
      <c r="F297" s="382" t="s">
        <v>556</v>
      </c>
      <c r="G297" s="383">
        <v>23</v>
      </c>
    </row>
    <row r="298" spans="2:7">
      <c r="B298" s="378" t="s">
        <v>553</v>
      </c>
      <c r="C298" s="379" t="s">
        <v>561</v>
      </c>
      <c r="D298" s="379" t="s">
        <v>571</v>
      </c>
      <c r="E298" s="379" t="s">
        <v>389</v>
      </c>
      <c r="F298" s="379" t="s">
        <v>556</v>
      </c>
      <c r="G298" s="380">
        <v>894</v>
      </c>
    </row>
    <row r="299" spans="2:7">
      <c r="B299" s="381" t="s">
        <v>553</v>
      </c>
      <c r="C299" s="382" t="s">
        <v>561</v>
      </c>
      <c r="D299" s="382" t="s">
        <v>571</v>
      </c>
      <c r="E299" s="382" t="s">
        <v>558</v>
      </c>
      <c r="F299" s="382" t="s">
        <v>556</v>
      </c>
      <c r="G299" s="383">
        <v>184</v>
      </c>
    </row>
    <row r="300" spans="2:7">
      <c r="B300" s="378" t="s">
        <v>553</v>
      </c>
      <c r="C300" s="379" t="s">
        <v>562</v>
      </c>
      <c r="D300" s="379" t="s">
        <v>571</v>
      </c>
      <c r="E300" s="379" t="s">
        <v>399</v>
      </c>
      <c r="F300" s="379" t="s">
        <v>556</v>
      </c>
      <c r="G300" s="380">
        <v>121</v>
      </c>
    </row>
    <row r="301" spans="2:7">
      <c r="B301" s="381" t="s">
        <v>553</v>
      </c>
      <c r="C301" s="382" t="s">
        <v>562</v>
      </c>
      <c r="D301" s="382" t="s">
        <v>571</v>
      </c>
      <c r="E301" s="382" t="s">
        <v>391</v>
      </c>
      <c r="F301" s="382" t="s">
        <v>556</v>
      </c>
      <c r="G301" s="383">
        <v>22974</v>
      </c>
    </row>
    <row r="302" spans="2:7">
      <c r="B302" s="378" t="s">
        <v>553</v>
      </c>
      <c r="C302" s="379" t="s">
        <v>562</v>
      </c>
      <c r="D302" s="379" t="s">
        <v>571</v>
      </c>
      <c r="E302" s="379" t="s">
        <v>557</v>
      </c>
      <c r="F302" s="379" t="s">
        <v>556</v>
      </c>
      <c r="G302" s="380">
        <v>25</v>
      </c>
    </row>
    <row r="303" spans="2:7">
      <c r="B303" s="381" t="s">
        <v>553</v>
      </c>
      <c r="C303" s="382" t="s">
        <v>562</v>
      </c>
      <c r="D303" s="382" t="s">
        <v>571</v>
      </c>
      <c r="E303" s="382" t="s">
        <v>389</v>
      </c>
      <c r="F303" s="382" t="s">
        <v>556</v>
      </c>
      <c r="G303" s="383">
        <v>411</v>
      </c>
    </row>
    <row r="304" spans="2:7">
      <c r="B304" s="372" t="s">
        <v>553</v>
      </c>
      <c r="C304" s="373" t="s">
        <v>562</v>
      </c>
      <c r="D304" s="373" t="s">
        <v>571</v>
      </c>
      <c r="E304" s="373" t="s">
        <v>558</v>
      </c>
      <c r="F304" s="373" t="s">
        <v>556</v>
      </c>
      <c r="G304" s="374">
        <v>124</v>
      </c>
    </row>
  </sheetData>
  <mergeCells count="1">
    <mergeCell ref="B50:C50"/>
  </mergeCells>
  <hyperlinks>
    <hyperlink ref="A1" r:id="rId1" xr:uid="{DCF5EDFB-0A8E-4A30-88DA-593DD1D19A60}"/>
    <hyperlink ref="A167" r:id="rId2" xr:uid="{30E49F8A-E2A6-40D2-BAE1-1A7DFFC23E59}"/>
    <hyperlink ref="A132" r:id="rId3" xr:uid="{0BA76960-1F50-45C5-800B-16E559FB6540}"/>
  </hyperlinks>
  <pageMargins left="0.7" right="0.7" top="0.75" bottom="0.75" header="0.3" footer="0.3"/>
  <pageSetup paperSize="9"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H27" sqref="H27"/>
    </sheetView>
  </sheetViews>
  <sheetFormatPr defaultRowHeight="14.5"/>
  <cols>
    <col min="2" max="2" width="27.26953125" customWidth="1"/>
    <col min="3" max="3" width="13.54296875" bestFit="1" customWidth="1"/>
    <col min="4" max="4" width="8.81640625" bestFit="1" customWidth="1"/>
    <col min="5" max="5" width="16.453125" bestFit="1" customWidth="1"/>
    <col min="6" max="6" width="5.1796875" bestFit="1" customWidth="1"/>
    <col min="7" max="7" width="8.81640625" bestFit="1" customWidth="1"/>
    <col min="8" max="8" width="12.453125" bestFit="1" customWidth="1"/>
    <col min="9" max="9" width="8.26953125" bestFit="1" customWidth="1"/>
    <col min="10" max="10" width="10.7265625" bestFit="1" customWidth="1"/>
    <col min="11" max="11" width="26.54296875" bestFit="1" customWidth="1"/>
  </cols>
  <sheetData>
    <row r="1" spans="1:11">
      <c r="A1" t="s">
        <v>479</v>
      </c>
    </row>
    <row r="2" spans="1:11">
      <c r="B2" s="34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480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J8" sqref="J8"/>
    </sheetView>
  </sheetViews>
  <sheetFormatPr defaultRowHeight="14.5"/>
  <cols>
    <col min="2" max="2" width="28.26953125" bestFit="1" customWidth="1"/>
    <col min="3" max="3" width="13.54296875" bestFit="1" customWidth="1"/>
    <col min="4" max="4" width="8.81640625" bestFit="1" customWidth="1"/>
    <col min="5" max="5" width="16.453125" bestFit="1" customWidth="1"/>
    <col min="6" max="6" width="5.54296875" bestFit="1" customWidth="1"/>
    <col min="8" max="8" width="12.453125" bestFit="1" customWidth="1"/>
    <col min="9" max="9" width="8.26953125" bestFit="1" customWidth="1"/>
    <col min="10" max="10" width="12" bestFit="1" customWidth="1"/>
    <col min="11" max="11" width="27.8164062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_xlfn.TEXTJOIN(",",TRUE,Regions!C3)</f>
        <v>~UC_Sets: R_E: IE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5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U70" sqref="U70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6.453125" style="12" bestFit="1" customWidth="1"/>
    <col min="9" max="9" width="6.179687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6.7265625" style="11" bestFit="1" customWidth="1"/>
    <col min="29" max="30" width="5.54296875" style="7" customWidth="1"/>
    <col min="31" max="31" width="8.7265625" style="7" bestFit="1" customWidth="1"/>
    <col min="32" max="32" width="8.7265625" style="7" customWidth="1"/>
    <col min="33" max="33" width="5.54296875" style="7" customWidth="1"/>
    <col min="34" max="34" width="5.81640625" style="7" bestFit="1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1796875" style="7" bestFit="1" customWidth="1"/>
    <col min="44" max="44" width="9.1796875" style="7"/>
    <col min="45" max="45" width="9.1796875" style="9"/>
    <col min="46" max="16384" width="9.1796875" style="7"/>
  </cols>
  <sheetData>
    <row r="1" spans="1:45" ht="105.75" customHeight="1" thickBot="1">
      <c r="A1" s="72" t="s">
        <v>159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  <c r="AS1" s="8"/>
    </row>
    <row r="2" spans="1:45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815.92434898628403</v>
      </c>
      <c r="I2" s="89">
        <v>688.22034898628408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2751.9191872187112</v>
      </c>
      <c r="AB2" s="94">
        <v>1334.8220354758096</v>
      </c>
      <c r="AC2" s="95">
        <v>59.691708987970003</v>
      </c>
      <c r="AD2" s="91">
        <v>743.01992281532614</v>
      </c>
      <c r="AE2" s="91">
        <v>248.90728456918018</v>
      </c>
      <c r="AF2" s="91">
        <v>139.99992739520798</v>
      </c>
      <c r="AG2" s="91">
        <v>33.531818868055431</v>
      </c>
      <c r="AH2" s="91">
        <v>16.813132576534866</v>
      </c>
      <c r="AI2" s="91">
        <v>31.064467987392003</v>
      </c>
      <c r="AJ2" s="91">
        <v>2.6691993220799999</v>
      </c>
      <c r="AK2" s="89">
        <v>1.5674556929599923</v>
      </c>
      <c r="AL2" s="89">
        <v>13.54608560366562</v>
      </c>
      <c r="AM2" s="87">
        <v>44.011031657437648</v>
      </c>
      <c r="AN2" s="96">
        <v>145.43710297949829</v>
      </c>
      <c r="AO2" s="96"/>
      <c r="AP2" s="94"/>
      <c r="AQ2" s="97">
        <v>5048.1026746603029</v>
      </c>
    </row>
    <row r="3" spans="1:45" ht="12.75" customHeight="1">
      <c r="A3" s="98" t="s">
        <v>94</v>
      </c>
      <c r="B3" s="99"/>
      <c r="C3" s="100">
        <v>903.49466255082825</v>
      </c>
      <c r="D3" s="101">
        <v>829.57460107090037</v>
      </c>
      <c r="E3" s="102">
        <v>61.722867734674637</v>
      </c>
      <c r="F3" s="103"/>
      <c r="G3" s="103">
        <v>12.197193745253209</v>
      </c>
      <c r="H3" s="104">
        <v>0</v>
      </c>
      <c r="I3" s="105"/>
      <c r="J3" s="106"/>
      <c r="K3" s="107"/>
      <c r="L3" s="104">
        <v>9138.5577999094057</v>
      </c>
      <c r="M3" s="105">
        <v>3053.4742963851995</v>
      </c>
      <c r="N3" s="105">
        <v>16.633377499200002</v>
      </c>
      <c r="O3" s="107">
        <v>0</v>
      </c>
      <c r="P3" s="107">
        <v>564.2364083333332</v>
      </c>
      <c r="Q3" s="107">
        <v>369.14638715136005</v>
      </c>
      <c r="R3" s="107">
        <v>1542.2444022448799</v>
      </c>
      <c r="S3" s="107">
        <v>82.827948630790956</v>
      </c>
      <c r="T3" s="107">
        <v>157.5463640726893</v>
      </c>
      <c r="U3" s="107">
        <v>2932.6955801163149</v>
      </c>
      <c r="V3" s="107">
        <v>166.37647928144222</v>
      </c>
      <c r="W3" s="103">
        <v>7.5616539426795564</v>
      </c>
      <c r="X3" s="103">
        <v>200.83222211696253</v>
      </c>
      <c r="Y3" s="103">
        <v>1.2281470084248403</v>
      </c>
      <c r="Z3" s="107">
        <v>43.754533126130625</v>
      </c>
      <c r="AA3" s="104">
        <v>1728.338063506957</v>
      </c>
      <c r="AB3" s="108">
        <v>151.93355907200862</v>
      </c>
      <c r="AC3" s="109"/>
      <c r="AD3" s="107"/>
      <c r="AE3" s="107">
        <v>24.282116302936618</v>
      </c>
      <c r="AF3" s="107"/>
      <c r="AG3" s="107"/>
      <c r="AH3" s="107"/>
      <c r="AI3" s="107">
        <v>104.81441230492801</v>
      </c>
      <c r="AJ3" s="107">
        <v>22.837030464144</v>
      </c>
      <c r="AK3" s="105"/>
      <c r="AL3" s="105"/>
      <c r="AM3" s="103"/>
      <c r="AN3" s="110"/>
      <c r="AO3" s="110">
        <v>139.45061680000001</v>
      </c>
      <c r="AP3" s="108"/>
      <c r="AQ3" s="111">
        <v>12061.7747018392</v>
      </c>
    </row>
    <row r="4" spans="1:45" ht="12.75" customHeight="1">
      <c r="A4" s="98" t="s">
        <v>95</v>
      </c>
      <c r="B4" s="99"/>
      <c r="C4" s="100">
        <v>15.186580890895996</v>
      </c>
      <c r="D4" s="101">
        <v>0</v>
      </c>
      <c r="E4" s="112">
        <v>14.097722161999997</v>
      </c>
      <c r="F4" s="103"/>
      <c r="G4" s="103">
        <v>1.0888587288959999</v>
      </c>
      <c r="H4" s="104">
        <v>7.0330680000000001</v>
      </c>
      <c r="I4" s="105"/>
      <c r="J4" s="106"/>
      <c r="K4" s="107">
        <v>7.0330680000000001</v>
      </c>
      <c r="L4" s="104">
        <v>1717.0624747879344</v>
      </c>
      <c r="M4" s="105">
        <v>0</v>
      </c>
      <c r="N4" s="105">
        <v>0</v>
      </c>
      <c r="O4" s="107"/>
      <c r="P4" s="107">
        <v>364.52221864444448</v>
      </c>
      <c r="Q4" s="107">
        <v>21.672508399360005</v>
      </c>
      <c r="R4" s="107">
        <v>156.29379915984001</v>
      </c>
      <c r="S4" s="107">
        <v>986.60611760112999</v>
      </c>
      <c r="T4" s="107">
        <v>35.289733288720633</v>
      </c>
      <c r="U4" s="107">
        <v>102.14625414775992</v>
      </c>
      <c r="V4" s="107">
        <v>2.9088437938490893E-3</v>
      </c>
      <c r="W4" s="103">
        <v>36.297317128453038</v>
      </c>
      <c r="X4" s="103">
        <v>5.4694689952000006</v>
      </c>
      <c r="Y4" s="103">
        <v>1.8500297569930473E-2</v>
      </c>
      <c r="Z4" s="107">
        <v>8.7436482816626366</v>
      </c>
      <c r="AA4" s="104">
        <v>0</v>
      </c>
      <c r="AB4" s="108">
        <v>9.4476585178560004</v>
      </c>
      <c r="AC4" s="109"/>
      <c r="AD4" s="107"/>
      <c r="AE4" s="107">
        <v>0.41264639999999991</v>
      </c>
      <c r="AF4" s="107"/>
      <c r="AG4" s="107"/>
      <c r="AH4" s="107"/>
      <c r="AI4" s="107">
        <v>9.0350121178560006</v>
      </c>
      <c r="AJ4" s="107">
        <v>0</v>
      </c>
      <c r="AK4" s="105"/>
      <c r="AL4" s="105"/>
      <c r="AM4" s="103"/>
      <c r="AN4" s="110"/>
      <c r="AO4" s="110">
        <v>141.83539077999998</v>
      </c>
      <c r="AP4" s="108"/>
      <c r="AQ4" s="111">
        <v>1890.5651729766864</v>
      </c>
    </row>
    <row r="5" spans="1:45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172.71258946798309</v>
      </c>
      <c r="M5" s="105"/>
      <c r="N5" s="105"/>
      <c r="O5" s="107"/>
      <c r="P5" s="107"/>
      <c r="Q5" s="107"/>
      <c r="R5" s="107"/>
      <c r="S5" s="107">
        <v>15.730078096892656</v>
      </c>
      <c r="T5" s="107"/>
      <c r="U5" s="107">
        <v>156.98251137109042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172.71258946798309</v>
      </c>
    </row>
    <row r="6" spans="1:45" ht="12.75" customHeight="1" thickBot="1">
      <c r="A6" s="113" t="s">
        <v>97</v>
      </c>
      <c r="B6" s="114"/>
      <c r="C6" s="100">
        <v>-101.25634942971132</v>
      </c>
      <c r="D6" s="115">
        <v>-101.869888772661</v>
      </c>
      <c r="E6" s="103">
        <v>-0.80797667272355533</v>
      </c>
      <c r="F6" s="116"/>
      <c r="G6" s="116">
        <v>1.4215160156732278</v>
      </c>
      <c r="H6" s="117">
        <v>-122.93905189963694</v>
      </c>
      <c r="I6" s="118">
        <v>-136.53826589963694</v>
      </c>
      <c r="J6" s="119">
        <v>0</v>
      </c>
      <c r="K6" s="118">
        <v>13.599214000000003</v>
      </c>
      <c r="L6" s="117">
        <v>137.25717980152902</v>
      </c>
      <c r="M6" s="105">
        <v>38.730964773999993</v>
      </c>
      <c r="N6" s="105">
        <v>-8.8751519999999999</v>
      </c>
      <c r="O6" s="107"/>
      <c r="P6" s="107">
        <v>-9.6980083333333713</v>
      </c>
      <c r="Q6" s="107">
        <v>-1.1994301446400024</v>
      </c>
      <c r="R6" s="107">
        <v>82.12024884504001</v>
      </c>
      <c r="S6" s="107">
        <v>23.637599999999999</v>
      </c>
      <c r="T6" s="107">
        <v>1.4659197380156652</v>
      </c>
      <c r="U6" s="107">
        <v>8.3874136006762399</v>
      </c>
      <c r="V6" s="107">
        <v>3.2040911090632966</v>
      </c>
      <c r="W6" s="116">
        <v>-0.51646778729281662</v>
      </c>
      <c r="X6" s="116">
        <v>0</v>
      </c>
      <c r="Y6" s="116">
        <v>0</v>
      </c>
      <c r="Z6" s="118">
        <v>0</v>
      </c>
      <c r="AA6" s="117">
        <v>0</v>
      </c>
      <c r="AB6" s="120">
        <v>4.4601014379600006</v>
      </c>
      <c r="AC6" s="121"/>
      <c r="AD6" s="122"/>
      <c r="AE6" s="122">
        <v>0.26707427819999968</v>
      </c>
      <c r="AF6" s="122"/>
      <c r="AG6" s="122"/>
      <c r="AH6" s="122"/>
      <c r="AI6" s="122">
        <v>1.7828522013120007</v>
      </c>
      <c r="AJ6" s="122">
        <v>2.4101749584479997</v>
      </c>
      <c r="AK6" s="118"/>
      <c r="AL6" s="118"/>
      <c r="AM6" s="116"/>
      <c r="AN6" s="123"/>
      <c r="AO6" s="123"/>
      <c r="AP6" s="120"/>
      <c r="AQ6" s="124">
        <v>-82.478120089859246</v>
      </c>
    </row>
    <row r="7" spans="1:45" s="11" customFormat="1" ht="12.75" customHeight="1">
      <c r="A7" s="125" t="s">
        <v>98</v>
      </c>
      <c r="B7" s="126"/>
      <c r="C7" s="127">
        <v>787.05173223022086</v>
      </c>
      <c r="D7" s="128">
        <v>727.70471229823943</v>
      </c>
      <c r="E7" s="129">
        <v>46.817168899951085</v>
      </c>
      <c r="F7" s="129">
        <v>0</v>
      </c>
      <c r="G7" s="129">
        <v>12.529851032030438</v>
      </c>
      <c r="H7" s="130">
        <v>685.95222908664709</v>
      </c>
      <c r="I7" s="128">
        <v>551.68208308664714</v>
      </c>
      <c r="J7" s="131">
        <v>127.70399999999999</v>
      </c>
      <c r="K7" s="129">
        <v>6.5661460000000034</v>
      </c>
      <c r="L7" s="130">
        <v>7386.0399154550169</v>
      </c>
      <c r="M7" s="128">
        <v>3092.2052611591994</v>
      </c>
      <c r="N7" s="128">
        <v>7.7582254992000017</v>
      </c>
      <c r="O7" s="129">
        <v>0</v>
      </c>
      <c r="P7" s="129">
        <v>190.01618135555535</v>
      </c>
      <c r="Q7" s="129">
        <v>346.27444860736</v>
      </c>
      <c r="R7" s="129">
        <v>1468.0708519300797</v>
      </c>
      <c r="S7" s="129">
        <v>-895.87064706723163</v>
      </c>
      <c r="T7" s="129">
        <v>123.72255052198433</v>
      </c>
      <c r="U7" s="129">
        <v>2681.9542281981408</v>
      </c>
      <c r="V7" s="129">
        <v>169.57766154671165</v>
      </c>
      <c r="W7" s="129">
        <v>-29.252130973066301</v>
      </c>
      <c r="X7" s="129">
        <v>195.36275312176252</v>
      </c>
      <c r="Y7" s="129">
        <v>1.2096467108549098</v>
      </c>
      <c r="Z7" s="129">
        <v>35.010884844467988</v>
      </c>
      <c r="AA7" s="130">
        <v>4480.2572507256682</v>
      </c>
      <c r="AB7" s="130">
        <v>1481.7680374679221</v>
      </c>
      <c r="AC7" s="128">
        <v>59.691708987970003</v>
      </c>
      <c r="AD7" s="129">
        <v>743.01992281532614</v>
      </c>
      <c r="AE7" s="129">
        <v>273.04382875031678</v>
      </c>
      <c r="AF7" s="129">
        <v>139.99992739520798</v>
      </c>
      <c r="AG7" s="129">
        <v>33.531818868055431</v>
      </c>
      <c r="AH7" s="129">
        <v>16.813132576534866</v>
      </c>
      <c r="AI7" s="129">
        <v>128.62672037577602</v>
      </c>
      <c r="AJ7" s="129">
        <v>27.916404744672001</v>
      </c>
      <c r="AK7" s="132">
        <v>1.5674556929599923</v>
      </c>
      <c r="AL7" s="132">
        <v>13.54608560366562</v>
      </c>
      <c r="AM7" s="128">
        <v>44.011031657437648</v>
      </c>
      <c r="AN7" s="130">
        <v>145.43710297949829</v>
      </c>
      <c r="AO7" s="130">
        <v>-2.3847739799999772</v>
      </c>
      <c r="AP7" s="133">
        <v>0</v>
      </c>
      <c r="AQ7" s="134">
        <v>14964.121493964973</v>
      </c>
      <c r="AR7" s="7"/>
      <c r="AS7" s="10"/>
    </row>
    <row r="8" spans="1:45" s="11" customFormat="1" ht="12.75" customHeight="1" thickBot="1">
      <c r="A8" s="135" t="s">
        <v>99</v>
      </c>
      <c r="B8" s="136"/>
      <c r="C8" s="137">
        <v>787.05173223022086</v>
      </c>
      <c r="D8" s="138">
        <v>727.70471229823943</v>
      </c>
      <c r="E8" s="139">
        <v>46.817168899951085</v>
      </c>
      <c r="F8" s="140">
        <v>0</v>
      </c>
      <c r="G8" s="140">
        <v>12.529851032030438</v>
      </c>
      <c r="H8" s="141">
        <v>685.95222908664709</v>
      </c>
      <c r="I8" s="138">
        <v>551.68208308664714</v>
      </c>
      <c r="J8" s="142">
        <v>127.70399999999999</v>
      </c>
      <c r="K8" s="139">
        <v>6.5661460000000034</v>
      </c>
      <c r="L8" s="141">
        <v>7154.4566307779314</v>
      </c>
      <c r="M8" s="138">
        <v>3092.2052611591994</v>
      </c>
      <c r="N8" s="138">
        <v>7.7582254992000017</v>
      </c>
      <c r="O8" s="139">
        <v>0</v>
      </c>
      <c r="P8" s="139">
        <v>190.01618135555535</v>
      </c>
      <c r="Q8" s="139">
        <v>346.27444860736</v>
      </c>
      <c r="R8" s="139">
        <v>1468.0708519300797</v>
      </c>
      <c r="S8" s="139">
        <v>-895.87064706723163</v>
      </c>
      <c r="T8" s="139">
        <v>123.72255052198433</v>
      </c>
      <c r="U8" s="139">
        <v>2681.9542281981408</v>
      </c>
      <c r="V8" s="139">
        <v>169.57766154671165</v>
      </c>
      <c r="W8" s="140">
        <v>-29.252130973066301</v>
      </c>
      <c r="X8" s="140">
        <v>0</v>
      </c>
      <c r="Y8" s="140">
        <v>0</v>
      </c>
      <c r="Z8" s="139">
        <v>0</v>
      </c>
      <c r="AA8" s="141">
        <v>4480.2572507256682</v>
      </c>
      <c r="AB8" s="143">
        <v>1481.7680374679221</v>
      </c>
      <c r="AC8" s="138">
        <v>59.691708987970003</v>
      </c>
      <c r="AD8" s="139">
        <v>743.01992281532614</v>
      </c>
      <c r="AE8" s="139">
        <v>273.04382875031678</v>
      </c>
      <c r="AF8" s="139">
        <v>139.99992739520798</v>
      </c>
      <c r="AG8" s="139">
        <v>33.531818868055431</v>
      </c>
      <c r="AH8" s="139">
        <v>16.813132576534866</v>
      </c>
      <c r="AI8" s="139">
        <v>128.62672037577602</v>
      </c>
      <c r="AJ8" s="139">
        <v>27.916404744672001</v>
      </c>
      <c r="AK8" s="144">
        <v>1.5674556929599923</v>
      </c>
      <c r="AL8" s="144">
        <v>13.54608560366562</v>
      </c>
      <c r="AM8" s="138">
        <v>44.011031657437648</v>
      </c>
      <c r="AN8" s="141">
        <v>145.43710297949829</v>
      </c>
      <c r="AO8" s="141">
        <v>-2.3847739799999772</v>
      </c>
      <c r="AP8" s="138">
        <v>0</v>
      </c>
      <c r="AQ8" s="145">
        <v>14732.538209287888</v>
      </c>
      <c r="AR8" s="7"/>
      <c r="AS8" s="10"/>
    </row>
    <row r="9" spans="1:45" s="11" customFormat="1" ht="12.75" customHeight="1">
      <c r="A9" s="125" t="s">
        <v>100</v>
      </c>
      <c r="B9" s="126"/>
      <c r="C9" s="127">
        <v>489.13419536754503</v>
      </c>
      <c r="D9" s="132">
        <v>489.13419536754503</v>
      </c>
      <c r="E9" s="129">
        <v>0</v>
      </c>
      <c r="F9" s="146">
        <v>0</v>
      </c>
      <c r="G9" s="146">
        <v>0</v>
      </c>
      <c r="H9" s="130">
        <v>541.02658367795425</v>
      </c>
      <c r="I9" s="132">
        <v>541.02658367795425</v>
      </c>
      <c r="J9" s="131">
        <v>0</v>
      </c>
      <c r="K9" s="129">
        <v>0</v>
      </c>
      <c r="L9" s="130">
        <v>3165.7216476484605</v>
      </c>
      <c r="M9" s="129">
        <v>3092.2052611591994</v>
      </c>
      <c r="N9" s="129">
        <v>38.786602361842682</v>
      </c>
      <c r="O9" s="129">
        <v>0</v>
      </c>
      <c r="P9" s="129">
        <v>0</v>
      </c>
      <c r="Q9" s="129">
        <v>0</v>
      </c>
      <c r="R9" s="129">
        <v>0</v>
      </c>
      <c r="S9" s="129">
        <v>25.868327226603597</v>
      </c>
      <c r="T9" s="129">
        <v>0.63499472294399995</v>
      </c>
      <c r="U9" s="129">
        <v>8.2264621778709284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2501.2994242635782</v>
      </c>
      <c r="AB9" s="128">
        <v>215.90352917717644</v>
      </c>
      <c r="AC9" s="147">
        <v>0</v>
      </c>
      <c r="AD9" s="129">
        <v>0</v>
      </c>
      <c r="AE9" s="129">
        <v>76.028615684916531</v>
      </c>
      <c r="AF9" s="129">
        <v>99.30702317107577</v>
      </c>
      <c r="AG9" s="129">
        <v>33.531818868055431</v>
      </c>
      <c r="AH9" s="129">
        <v>7.0360714531287174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90.714163374524205</v>
      </c>
      <c r="AO9" s="130">
        <v>54.38453208</v>
      </c>
      <c r="AP9" s="128">
        <v>0</v>
      </c>
      <c r="AQ9" s="148">
        <v>7058.184075589239</v>
      </c>
      <c r="AR9" s="7"/>
      <c r="AS9" s="10"/>
    </row>
    <row r="10" spans="1:45" ht="12.75" customHeight="1">
      <c r="A10" s="149" t="s">
        <v>422</v>
      </c>
      <c r="B10" s="150"/>
      <c r="C10" s="151">
        <v>489.13419536754503</v>
      </c>
      <c r="D10" s="152">
        <v>489.13419536754503</v>
      </c>
      <c r="E10" s="153"/>
      <c r="F10" s="154"/>
      <c r="G10" s="154"/>
      <c r="H10" s="155">
        <v>467.10845991760607</v>
      </c>
      <c r="I10" s="152">
        <v>467.10845991760607</v>
      </c>
      <c r="J10" s="156">
        <v>0</v>
      </c>
      <c r="K10" s="153"/>
      <c r="L10" s="155">
        <v>34.094789404474525</v>
      </c>
      <c r="M10" s="153"/>
      <c r="N10" s="153"/>
      <c r="O10" s="153"/>
      <c r="P10" s="153"/>
      <c r="Q10" s="153"/>
      <c r="R10" s="153"/>
      <c r="S10" s="153">
        <v>25.868327226603597</v>
      </c>
      <c r="T10" s="153"/>
      <c r="U10" s="153">
        <v>8.2264621778709284</v>
      </c>
      <c r="V10" s="153"/>
      <c r="W10" s="154"/>
      <c r="X10" s="154"/>
      <c r="Y10" s="154"/>
      <c r="Z10" s="153"/>
      <c r="AA10" s="155">
        <v>2187.6033883210698</v>
      </c>
      <c r="AB10" s="157">
        <v>205.30590173319058</v>
      </c>
      <c r="AC10" s="158"/>
      <c r="AD10" s="153"/>
      <c r="AE10" s="153">
        <v>72.467059694059387</v>
      </c>
      <c r="AF10" s="153">
        <v>99.30702317107577</v>
      </c>
      <c r="AG10" s="153">
        <v>33.531818868055431</v>
      </c>
      <c r="AH10" s="153"/>
      <c r="AI10" s="153"/>
      <c r="AJ10" s="153"/>
      <c r="AK10" s="152"/>
      <c r="AL10" s="152"/>
      <c r="AM10" s="154"/>
      <c r="AN10" s="159">
        <v>90.714163374524205</v>
      </c>
      <c r="AO10" s="155"/>
      <c r="AP10" s="157"/>
      <c r="AQ10" s="160">
        <v>3473.9608981184101</v>
      </c>
    </row>
    <row r="11" spans="1:45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5.8425469182429177</v>
      </c>
      <c r="I11" s="105">
        <v>5.8425469182429177</v>
      </c>
      <c r="J11" s="106"/>
      <c r="K11" s="107"/>
      <c r="L11" s="104">
        <v>0.63499472294399995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0.63499472294399995</v>
      </c>
      <c r="U11" s="107">
        <v>0</v>
      </c>
      <c r="V11" s="107"/>
      <c r="W11" s="103"/>
      <c r="X11" s="103"/>
      <c r="Y11" s="103"/>
      <c r="Z11" s="107"/>
      <c r="AA11" s="104">
        <v>272.96145103491432</v>
      </c>
      <c r="AB11" s="108">
        <v>10.597627443985861</v>
      </c>
      <c r="AC11" s="109"/>
      <c r="AD11" s="107"/>
      <c r="AE11" s="107">
        <v>3.5615559908571428</v>
      </c>
      <c r="AF11" s="107"/>
      <c r="AG11" s="107"/>
      <c r="AH11" s="107">
        <v>7.0360714531287174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290.03662012008709</v>
      </c>
    </row>
    <row r="12" spans="1:45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42.942060079999997</v>
      </c>
      <c r="AP12" s="108"/>
      <c r="AQ12" s="111">
        <v>42.942060079999997</v>
      </c>
    </row>
    <row r="13" spans="1:45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68.075576842105264</v>
      </c>
      <c r="I13" s="105">
        <v>68.075576842105264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68.075576842105264</v>
      </c>
    </row>
    <row r="14" spans="1:45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3130.991863521042</v>
      </c>
      <c r="M14" s="166">
        <v>3092.2052611591994</v>
      </c>
      <c r="N14" s="166">
        <v>38.786602361842682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40.734584907594211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11.442471999999999</v>
      </c>
      <c r="AP14" s="170"/>
      <c r="AQ14" s="173">
        <v>3183.1689204286363</v>
      </c>
    </row>
    <row r="15" spans="1:45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64.671797999999995</v>
      </c>
      <c r="I15" s="177">
        <v>0</v>
      </c>
      <c r="J15" s="181">
        <v>0</v>
      </c>
      <c r="K15" s="178">
        <v>64.671797999999995</v>
      </c>
      <c r="L15" s="180">
        <v>3166.7858692089685</v>
      </c>
      <c r="M15" s="178">
        <v>0</v>
      </c>
      <c r="N15" s="178">
        <v>0</v>
      </c>
      <c r="O15" s="178">
        <v>90.017983923640699</v>
      </c>
      <c r="P15" s="178">
        <v>640.53679657777786</v>
      </c>
      <c r="Q15" s="178">
        <v>226.77459106847999</v>
      </c>
      <c r="R15" s="178">
        <v>0</v>
      </c>
      <c r="S15" s="178">
        <v>960.95017928079096</v>
      </c>
      <c r="T15" s="178">
        <v>64.797462901984332</v>
      </c>
      <c r="U15" s="178">
        <v>1146.9502117491124</v>
      </c>
      <c r="V15" s="178">
        <v>0</v>
      </c>
      <c r="W15" s="179">
        <v>36.758643707182323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1873.361490524092</v>
      </c>
      <c r="AP15" s="182">
        <v>0</v>
      </c>
      <c r="AQ15" s="185">
        <v>5104.8191577330599</v>
      </c>
      <c r="AR15" s="7"/>
      <c r="AS15" s="10"/>
    </row>
    <row r="16" spans="1:45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1667.7865923774164</v>
      </c>
      <c r="AP16" s="157"/>
      <c r="AQ16" s="186">
        <v>1667.7865923774164</v>
      </c>
    </row>
    <row r="17" spans="1:45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185.14395873624346</v>
      </c>
      <c r="AP17" s="108"/>
      <c r="AQ17" s="111">
        <v>185.14395873624346</v>
      </c>
    </row>
    <row r="18" spans="1:45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20.430939410432</v>
      </c>
      <c r="AP18" s="108"/>
      <c r="AQ18" s="111">
        <v>20.430939410432</v>
      </c>
    </row>
    <row r="19" spans="1:45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64.671797999999995</v>
      </c>
      <c r="I19" s="105"/>
      <c r="J19" s="107"/>
      <c r="K19" s="107">
        <v>64.671797999999995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64.671797999999995</v>
      </c>
    </row>
    <row r="20" spans="1:45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3166.7858692089685</v>
      </c>
      <c r="M20" s="166"/>
      <c r="N20" s="166"/>
      <c r="O20" s="166">
        <v>90.017983923640699</v>
      </c>
      <c r="P20" s="166">
        <v>640.53679657777786</v>
      </c>
      <c r="Q20" s="166">
        <v>226.77459106847999</v>
      </c>
      <c r="R20" s="166">
        <v>0</v>
      </c>
      <c r="S20" s="166">
        <v>960.95017928079096</v>
      </c>
      <c r="T20" s="166">
        <v>64.797462901984332</v>
      </c>
      <c r="U20" s="166">
        <v>1146.9502117491124</v>
      </c>
      <c r="V20" s="166"/>
      <c r="W20" s="167">
        <v>36.758643707182323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3166.7858692089685</v>
      </c>
    </row>
    <row r="21" spans="1:45" ht="12.75" customHeight="1">
      <c r="A21" s="188" t="s">
        <v>102</v>
      </c>
      <c r="B21" s="189"/>
      <c r="C21" s="190">
        <v>22.240061570656767</v>
      </c>
      <c r="D21" s="191">
        <v>-17.14136118835</v>
      </c>
      <c r="E21" s="192">
        <v>39.381422759006767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-24.684016341344105</v>
      </c>
      <c r="M21" s="192">
        <v>0</v>
      </c>
      <c r="N21" s="192">
        <v>30.880435114089789</v>
      </c>
      <c r="O21" s="192">
        <v>0</v>
      </c>
      <c r="P21" s="192">
        <v>-31.331710700000009</v>
      </c>
      <c r="Q21" s="192">
        <v>361.91080481920005</v>
      </c>
      <c r="R21" s="192">
        <v>-361.12225342559998</v>
      </c>
      <c r="S21" s="192">
        <v>-0.17168420677966101</v>
      </c>
      <c r="T21" s="192">
        <v>0</v>
      </c>
      <c r="U21" s="192">
        <v>-2.6095463715975598</v>
      </c>
      <c r="V21" s="192">
        <v>-22.240061570656763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-804.27908749625612</v>
      </c>
      <c r="AC21" s="196">
        <v>-59.691708987970003</v>
      </c>
      <c r="AD21" s="192">
        <v>-743.01992281532614</v>
      </c>
      <c r="AE21" s="192">
        <v>0</v>
      </c>
      <c r="AF21" s="192">
        <v>0</v>
      </c>
      <c r="AG21" s="197">
        <v>0</v>
      </c>
      <c r="AH21" s="197">
        <v>0</v>
      </c>
      <c r="AI21" s="197">
        <v>0</v>
      </c>
      <c r="AJ21" s="197">
        <v>0</v>
      </c>
      <c r="AK21" s="191">
        <v>-1.5674556929599923</v>
      </c>
      <c r="AL21" s="197">
        <v>0</v>
      </c>
      <c r="AM21" s="193">
        <v>0</v>
      </c>
      <c r="AN21" s="198">
        <v>0</v>
      </c>
      <c r="AO21" s="194">
        <v>804.27908749625612</v>
      </c>
      <c r="AP21" s="195">
        <v>0</v>
      </c>
      <c r="AQ21" s="199">
        <v>-2.4439547706873377</v>
      </c>
    </row>
    <row r="22" spans="1:45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-804.27908749625612</v>
      </c>
      <c r="AC22" s="158">
        <v>-59.691708987970003</v>
      </c>
      <c r="AD22" s="153">
        <v>-743.01992281532614</v>
      </c>
      <c r="AE22" s="153"/>
      <c r="AF22" s="153"/>
      <c r="AG22" s="161"/>
      <c r="AH22" s="161"/>
      <c r="AI22" s="161"/>
      <c r="AJ22" s="161"/>
      <c r="AK22" s="152">
        <v>-1.5674556929599923</v>
      </c>
      <c r="AL22" s="161"/>
      <c r="AM22" s="154"/>
      <c r="AN22" s="159"/>
      <c r="AO22" s="155">
        <v>804.27908749625612</v>
      </c>
      <c r="AP22" s="157"/>
      <c r="AQ22" s="186">
        <v>0</v>
      </c>
    </row>
    <row r="23" spans="1:45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5" ht="12.75" customHeight="1" thickBot="1">
      <c r="A24" s="113" t="s">
        <v>434</v>
      </c>
      <c r="B24" s="114"/>
      <c r="C24" s="214">
        <v>22.240061570656767</v>
      </c>
      <c r="D24" s="215">
        <v>-17.14136118835</v>
      </c>
      <c r="E24" s="122">
        <v>39.381422759006767</v>
      </c>
      <c r="F24" s="116"/>
      <c r="G24" s="116">
        <v>0</v>
      </c>
      <c r="H24" s="117"/>
      <c r="I24" s="216"/>
      <c r="J24" s="122"/>
      <c r="K24" s="122"/>
      <c r="L24" s="117">
        <v>-24.684016341344105</v>
      </c>
      <c r="M24" s="122"/>
      <c r="N24" s="122">
        <v>30.880435114089789</v>
      </c>
      <c r="O24" s="122"/>
      <c r="P24" s="122">
        <v>-31.331710700000009</v>
      </c>
      <c r="Q24" s="122">
        <v>361.91080481920005</v>
      </c>
      <c r="R24" s="122">
        <v>-361.12225342559998</v>
      </c>
      <c r="S24" s="122">
        <v>-0.17168420677966101</v>
      </c>
      <c r="T24" s="122"/>
      <c r="U24" s="122">
        <v>-2.6095463715975598</v>
      </c>
      <c r="V24" s="116">
        <v>-22.240061570656763</v>
      </c>
      <c r="W24" s="116">
        <v>0</v>
      </c>
      <c r="X24" s="116"/>
      <c r="Y24" s="116"/>
      <c r="Z24" s="122"/>
      <c r="AA24" s="117"/>
      <c r="AB24" s="117">
        <v>0</v>
      </c>
      <c r="AC24" s="121"/>
      <c r="AD24" s="122"/>
      <c r="AE24" s="122"/>
      <c r="AF24" s="122"/>
      <c r="AG24" s="122"/>
      <c r="AH24" s="122">
        <v>0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-2.4439547706873377</v>
      </c>
    </row>
    <row r="25" spans="1:45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10.28324833984202</v>
      </c>
      <c r="I25" s="207">
        <v>10.28324833984202</v>
      </c>
      <c r="J25" s="217"/>
      <c r="K25" s="209"/>
      <c r="L25" s="180">
        <v>98.284657617035819</v>
      </c>
      <c r="M25" s="209"/>
      <c r="N25" s="209"/>
      <c r="O25" s="209">
        <v>95.274692021714102</v>
      </c>
      <c r="P25" s="209"/>
      <c r="Q25" s="209"/>
      <c r="R25" s="209"/>
      <c r="S25" s="209">
        <v>0</v>
      </c>
      <c r="T25" s="209">
        <v>4.1693256233877908E-3</v>
      </c>
      <c r="U25" s="209">
        <v>3.0057962696983291</v>
      </c>
      <c r="V25" s="209"/>
      <c r="W25" s="207"/>
      <c r="X25" s="207"/>
      <c r="Y25" s="207"/>
      <c r="Z25" s="209"/>
      <c r="AA25" s="180">
        <v>57.528599543766255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259.46681438260055</v>
      </c>
      <c r="AP25" s="182"/>
      <c r="AQ25" s="213">
        <v>425.56331988324462</v>
      </c>
    </row>
    <row r="26" spans="1:45" s="11" customFormat="1" ht="12.75" customHeight="1" thickBot="1">
      <c r="A26" s="218" t="s">
        <v>104</v>
      </c>
      <c r="B26" s="219"/>
      <c r="C26" s="220">
        <v>320.15759843333262</v>
      </c>
      <c r="D26" s="221">
        <v>221.42915574234439</v>
      </c>
      <c r="E26" s="222">
        <v>86.198591658957852</v>
      </c>
      <c r="F26" s="222">
        <v>0</v>
      </c>
      <c r="G26" s="222">
        <v>12.529851032030438</v>
      </c>
      <c r="H26" s="223">
        <v>199.31419506885081</v>
      </c>
      <c r="I26" s="221">
        <v>0.37225106885087023</v>
      </c>
      <c r="J26" s="224">
        <v>127.70399999999999</v>
      </c>
      <c r="K26" s="222">
        <v>71.237943999999999</v>
      </c>
      <c r="L26" s="223">
        <v>7264.135463057145</v>
      </c>
      <c r="M26" s="222">
        <v>0</v>
      </c>
      <c r="N26" s="222">
        <v>-0.14794174855289199</v>
      </c>
      <c r="O26" s="222">
        <v>-5.2567080980734033</v>
      </c>
      <c r="P26" s="222">
        <v>799.22126723333315</v>
      </c>
      <c r="Q26" s="222">
        <v>934.9598444950401</v>
      </c>
      <c r="R26" s="222">
        <v>1106.9485985044798</v>
      </c>
      <c r="S26" s="222">
        <v>39.03952078017609</v>
      </c>
      <c r="T26" s="222">
        <v>187.88084937540125</v>
      </c>
      <c r="U26" s="222">
        <v>3815.0626351280866</v>
      </c>
      <c r="V26" s="222">
        <v>147.33759997605489</v>
      </c>
      <c r="W26" s="222">
        <v>7.506512734116022</v>
      </c>
      <c r="X26" s="222">
        <v>195.36275312176252</v>
      </c>
      <c r="Y26" s="222">
        <v>1.2096467108549098</v>
      </c>
      <c r="Z26" s="222">
        <v>35.010884844467988</v>
      </c>
      <c r="AA26" s="223">
        <v>1921.4292269183238</v>
      </c>
      <c r="AB26" s="225">
        <v>461.58542079448944</v>
      </c>
      <c r="AC26" s="147">
        <v>0</v>
      </c>
      <c r="AD26" s="129">
        <v>0</v>
      </c>
      <c r="AE26" s="129">
        <v>197.01521306540025</v>
      </c>
      <c r="AF26" s="129">
        <v>40.692904224132207</v>
      </c>
      <c r="AG26" s="129">
        <v>0</v>
      </c>
      <c r="AH26" s="129">
        <v>9.7770611234061491</v>
      </c>
      <c r="AI26" s="129">
        <v>128.62672037577602</v>
      </c>
      <c r="AJ26" s="129">
        <v>27.916404744672001</v>
      </c>
      <c r="AK26" s="132">
        <v>0</v>
      </c>
      <c r="AL26" s="132">
        <v>13.54608560366562</v>
      </c>
      <c r="AM26" s="226">
        <v>44.011031657437648</v>
      </c>
      <c r="AN26" s="223">
        <v>54.722939604974087</v>
      </c>
      <c r="AO26" s="223">
        <v>2361.4044575777475</v>
      </c>
      <c r="AP26" s="225">
        <v>0</v>
      </c>
      <c r="AQ26" s="227">
        <v>12582.749301454864</v>
      </c>
      <c r="AR26" s="7"/>
      <c r="AS26" s="10"/>
    </row>
    <row r="27" spans="1:45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231.58328467708543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195.36275312176252</v>
      </c>
      <c r="Y27" s="146">
        <v>1.2096467108549098</v>
      </c>
      <c r="Z27" s="129">
        <v>35.010884844467988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231.58328467708543</v>
      </c>
      <c r="AR27" s="7"/>
      <c r="AS27" s="10"/>
    </row>
    <row r="28" spans="1:45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231.58328467708543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195.36275312176252</v>
      </c>
      <c r="Y28" s="193">
        <v>1.2096467108549098</v>
      </c>
      <c r="Z28" s="192">
        <v>35.010884844467988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231.58328467708543</v>
      </c>
    </row>
    <row r="29" spans="1:45" s="11" customFormat="1" ht="12.75" customHeight="1" thickBot="1">
      <c r="A29" s="125" t="s">
        <v>107</v>
      </c>
      <c r="B29" s="126"/>
      <c r="C29" s="127">
        <v>322.73712666999984</v>
      </c>
      <c r="D29" s="132">
        <v>221.25198259398218</v>
      </c>
      <c r="E29" s="129">
        <v>89.647280058277374</v>
      </c>
      <c r="F29" s="146">
        <v>0</v>
      </c>
      <c r="G29" s="146">
        <v>11.837385289740231</v>
      </c>
      <c r="H29" s="130">
        <v>197.36847005356</v>
      </c>
      <c r="I29" s="132">
        <v>0.82966372355999995</v>
      </c>
      <c r="J29" s="233">
        <v>127.70399999999999</v>
      </c>
      <c r="K29" s="132">
        <v>68.834806329999992</v>
      </c>
      <c r="L29" s="130">
        <v>7068.2622000267629</v>
      </c>
      <c r="M29" s="129">
        <v>0</v>
      </c>
      <c r="N29" s="129">
        <v>0</v>
      </c>
      <c r="O29" s="129">
        <v>0</v>
      </c>
      <c r="P29" s="129">
        <v>821.48002832197096</v>
      </c>
      <c r="Q29" s="129">
        <v>934.32541284991999</v>
      </c>
      <c r="R29" s="129">
        <v>1102.8442060797599</v>
      </c>
      <c r="S29" s="129">
        <v>31.039400915077643</v>
      </c>
      <c r="T29" s="129">
        <v>181.32381570558746</v>
      </c>
      <c r="U29" s="129">
        <v>3850.7370652579057</v>
      </c>
      <c r="V29" s="129">
        <v>146.51227089654276</v>
      </c>
      <c r="W29" s="146">
        <v>0</v>
      </c>
      <c r="X29" s="146">
        <v>0</v>
      </c>
      <c r="Y29" s="146">
        <v>0</v>
      </c>
      <c r="Z29" s="132">
        <v>0</v>
      </c>
      <c r="AA29" s="223">
        <v>1961.7039372255226</v>
      </c>
      <c r="AB29" s="128">
        <v>464.00156697504468</v>
      </c>
      <c r="AC29" s="147">
        <v>0</v>
      </c>
      <c r="AD29" s="129">
        <v>0</v>
      </c>
      <c r="AE29" s="129">
        <v>201.73488232270705</v>
      </c>
      <c r="AF29" s="129">
        <v>40.692904224132199</v>
      </c>
      <c r="AG29" s="129">
        <v>0</v>
      </c>
      <c r="AH29" s="129">
        <v>9.7770611234061491</v>
      </c>
      <c r="AI29" s="129">
        <v>126.96834918892802</v>
      </c>
      <c r="AJ29" s="129">
        <v>27.271252854767997</v>
      </c>
      <c r="AK29" s="128">
        <v>0</v>
      </c>
      <c r="AL29" s="128">
        <v>13.546085603665619</v>
      </c>
      <c r="AM29" s="128">
        <v>44.011031657437648</v>
      </c>
      <c r="AN29" s="128">
        <v>54.722939604974094</v>
      </c>
      <c r="AO29" s="130">
        <v>2397.7151931597796</v>
      </c>
      <c r="AP29" s="128">
        <v>0</v>
      </c>
      <c r="AQ29" s="227">
        <v>12466.511433715645</v>
      </c>
      <c r="AR29" s="7"/>
      <c r="AS29" s="10"/>
    </row>
    <row r="30" spans="1:45" s="11" customFormat="1" ht="12.75" customHeight="1">
      <c r="A30" s="234" t="s">
        <v>108</v>
      </c>
      <c r="B30" s="235"/>
      <c r="C30" s="236">
        <v>105.42502802800003</v>
      </c>
      <c r="D30" s="237">
        <v>105.4245493</v>
      </c>
      <c r="E30" s="237">
        <v>0</v>
      </c>
      <c r="F30" s="238"/>
      <c r="G30" s="238"/>
      <c r="H30" s="239">
        <v>0.82966372355999995</v>
      </c>
      <c r="I30" s="240">
        <v>0.82966372355999995</v>
      </c>
      <c r="J30" s="237">
        <v>0</v>
      </c>
      <c r="K30" s="237">
        <v>0</v>
      </c>
      <c r="L30" s="239">
        <v>336.13485801713637</v>
      </c>
      <c r="M30" s="237">
        <v>0</v>
      </c>
      <c r="N30" s="237">
        <v>0</v>
      </c>
      <c r="O30" s="237">
        <v>0</v>
      </c>
      <c r="P30" s="237">
        <v>0</v>
      </c>
      <c r="Q30" s="237">
        <v>5.7874807171111975</v>
      </c>
      <c r="R30" s="237">
        <v>0</v>
      </c>
      <c r="S30" s="237">
        <v>30.396553446461994</v>
      </c>
      <c r="T30" s="237">
        <v>59.130270659455263</v>
      </c>
      <c r="U30" s="237">
        <v>99.712154020856318</v>
      </c>
      <c r="V30" s="237">
        <v>141.10839917325163</v>
      </c>
      <c r="W30" s="237">
        <v>0</v>
      </c>
      <c r="X30" s="237">
        <v>0</v>
      </c>
      <c r="Y30" s="237">
        <v>0</v>
      </c>
      <c r="Z30" s="237">
        <v>0</v>
      </c>
      <c r="AA30" s="239">
        <v>991.07205196168013</v>
      </c>
      <c r="AB30" s="241">
        <v>198.81521058080656</v>
      </c>
      <c r="AC30" s="242">
        <v>0</v>
      </c>
      <c r="AD30" s="237">
        <v>0</v>
      </c>
      <c r="AE30" s="237">
        <v>153.96698996806381</v>
      </c>
      <c r="AF30" s="237">
        <v>40.692904224132199</v>
      </c>
      <c r="AG30" s="237">
        <v>0</v>
      </c>
      <c r="AH30" s="237">
        <v>4.1553163886105651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54.722939604974094</v>
      </c>
      <c r="AO30" s="239">
        <v>557.42969667618718</v>
      </c>
      <c r="AP30" s="241">
        <v>0</v>
      </c>
      <c r="AQ30" s="148">
        <v>2244.4294485923442</v>
      </c>
      <c r="AR30" s="7"/>
      <c r="AS30" s="15"/>
    </row>
    <row r="31" spans="1:45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15.144242085454954</v>
      </c>
      <c r="M31" s="161"/>
      <c r="N31" s="161"/>
      <c r="O31" s="161"/>
      <c r="P31" s="252"/>
      <c r="Q31" s="203">
        <v>0.253</v>
      </c>
      <c r="R31" s="247"/>
      <c r="S31" s="203">
        <v>0</v>
      </c>
      <c r="T31" s="203">
        <v>9.3242085454953244E-2</v>
      </c>
      <c r="U31" s="203">
        <v>14.798</v>
      </c>
      <c r="V31" s="203">
        <v>0</v>
      </c>
      <c r="W31" s="247"/>
      <c r="X31" s="250"/>
      <c r="Y31" s="252"/>
      <c r="Z31" s="161"/>
      <c r="AA31" s="159">
        <v>11.682131866546742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18.596553109438968</v>
      </c>
      <c r="AP31" s="253"/>
      <c r="AQ31" s="160">
        <v>45.42292706144066</v>
      </c>
    </row>
    <row r="32" spans="1:45" ht="12.75" customHeight="1">
      <c r="A32" s="255" t="s">
        <v>111</v>
      </c>
      <c r="B32" s="256" t="s">
        <v>112</v>
      </c>
      <c r="C32" s="100">
        <v>18.505815952000003</v>
      </c>
      <c r="D32" s="109">
        <v>18.505815952000003</v>
      </c>
      <c r="E32" s="257"/>
      <c r="F32" s="257"/>
      <c r="G32" s="258"/>
      <c r="H32" s="104">
        <v>0.82966372355999995</v>
      </c>
      <c r="I32" s="105">
        <v>0.82966372355999995</v>
      </c>
      <c r="J32" s="106"/>
      <c r="K32" s="107"/>
      <c r="L32" s="104">
        <v>67.219658121812799</v>
      </c>
      <c r="M32" s="107"/>
      <c r="N32" s="107"/>
      <c r="O32" s="107"/>
      <c r="P32" s="252"/>
      <c r="Q32" s="257">
        <v>1.5209999999999999</v>
      </c>
      <c r="R32" s="257"/>
      <c r="S32" s="257">
        <v>22.968462416696998</v>
      </c>
      <c r="T32" s="257">
        <v>31.589195705115795</v>
      </c>
      <c r="U32" s="257">
        <v>11.141</v>
      </c>
      <c r="V32" s="257">
        <v>0</v>
      </c>
      <c r="W32" s="257"/>
      <c r="X32" s="105"/>
      <c r="Y32" s="103"/>
      <c r="Z32" s="107"/>
      <c r="AA32" s="110">
        <v>279.3669759409463</v>
      </c>
      <c r="AB32" s="108">
        <v>27.983335383690566</v>
      </c>
      <c r="AC32" s="109"/>
      <c r="AD32" s="107"/>
      <c r="AE32" s="107">
        <v>23.828018995080001</v>
      </c>
      <c r="AF32" s="107"/>
      <c r="AG32" s="161"/>
      <c r="AH32" s="161">
        <v>4.1553163886105651</v>
      </c>
      <c r="AI32" s="161"/>
      <c r="AJ32" s="161"/>
      <c r="AK32" s="105"/>
      <c r="AL32" s="103"/>
      <c r="AM32" s="107"/>
      <c r="AN32" s="110"/>
      <c r="AO32" s="110">
        <v>98.157748907990253</v>
      </c>
      <c r="AP32" s="108"/>
      <c r="AQ32" s="111">
        <v>492.06319802999997</v>
      </c>
    </row>
    <row r="33" spans="1:45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4.5600651981405953</v>
      </c>
      <c r="M33" s="107"/>
      <c r="N33" s="107"/>
      <c r="O33" s="107"/>
      <c r="P33" s="252"/>
      <c r="Q33" s="257">
        <v>7.6999999999999999E-2</v>
      </c>
      <c r="R33" s="257"/>
      <c r="S33" s="257">
        <v>0</v>
      </c>
      <c r="T33" s="257">
        <v>4.2050651981405958</v>
      </c>
      <c r="U33" s="257">
        <v>0.27800000000000002</v>
      </c>
      <c r="V33" s="257">
        <v>0</v>
      </c>
      <c r="W33" s="257"/>
      <c r="X33" s="105"/>
      <c r="Y33" s="103"/>
      <c r="Z33" s="107"/>
      <c r="AA33" s="110">
        <v>3.5954460471619698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2.6274548950118599</v>
      </c>
      <c r="AP33" s="108"/>
      <c r="AQ33" s="111">
        <v>10.782966140314425</v>
      </c>
    </row>
    <row r="34" spans="1:45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3.2351234226256715</v>
      </c>
      <c r="M34" s="107"/>
      <c r="N34" s="107"/>
      <c r="O34" s="107"/>
      <c r="P34" s="252"/>
      <c r="Q34" s="257">
        <v>0.16500000000000001</v>
      </c>
      <c r="R34" s="257"/>
      <c r="S34" s="257">
        <v>0</v>
      </c>
      <c r="T34" s="257">
        <v>0.62212342262567166</v>
      </c>
      <c r="U34" s="257">
        <v>2.448</v>
      </c>
      <c r="V34" s="257">
        <v>0</v>
      </c>
      <c r="W34" s="257"/>
      <c r="X34" s="105"/>
      <c r="Y34" s="103"/>
      <c r="Z34" s="107"/>
      <c r="AA34" s="110">
        <v>9.6798897276550644</v>
      </c>
      <c r="AB34" s="108">
        <v>127.91319688416</v>
      </c>
      <c r="AC34" s="109"/>
      <c r="AD34" s="107"/>
      <c r="AE34" s="107">
        <v>127.91319688416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26.47082397885649</v>
      </c>
      <c r="AP34" s="108"/>
      <c r="AQ34" s="111">
        <v>167.29903401329722</v>
      </c>
    </row>
    <row r="35" spans="1:45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1.6907943325216239</v>
      </c>
      <c r="M35" s="107"/>
      <c r="N35" s="107"/>
      <c r="O35" s="107"/>
      <c r="P35" s="252"/>
      <c r="Q35" s="257">
        <v>9.9000000000000005E-2</v>
      </c>
      <c r="R35" s="257"/>
      <c r="S35" s="257">
        <v>0</v>
      </c>
      <c r="T35" s="257">
        <v>0.68479433252162381</v>
      </c>
      <c r="U35" s="257">
        <v>0.90700000000000003</v>
      </c>
      <c r="V35" s="257">
        <v>0</v>
      </c>
      <c r="W35" s="257"/>
      <c r="X35" s="105"/>
      <c r="Y35" s="103"/>
      <c r="Z35" s="107"/>
      <c r="AA35" s="110">
        <v>14.321791914823407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10.235641575985747</v>
      </c>
      <c r="AP35" s="108"/>
      <c r="AQ35" s="111">
        <v>26.24822782333078</v>
      </c>
    </row>
    <row r="36" spans="1:45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21.325649296684531</v>
      </c>
      <c r="M36" s="107"/>
      <c r="N36" s="107"/>
      <c r="O36" s="107"/>
      <c r="P36" s="252"/>
      <c r="Q36" s="247">
        <v>0.26100000000000001</v>
      </c>
      <c r="R36" s="257"/>
      <c r="S36" s="247">
        <v>2.7458233928999998</v>
      </c>
      <c r="T36" s="247">
        <v>4.2570361965908976</v>
      </c>
      <c r="U36" s="247">
        <v>4.2439999999999998</v>
      </c>
      <c r="V36" s="247">
        <v>9.8177897071936346</v>
      </c>
      <c r="W36" s="257"/>
      <c r="X36" s="105"/>
      <c r="Y36" s="103"/>
      <c r="Z36" s="107"/>
      <c r="AA36" s="260">
        <v>114.31732296368018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77.212977542362395</v>
      </c>
      <c r="AP36" s="108"/>
      <c r="AQ36" s="111">
        <v>212.85594980272714</v>
      </c>
    </row>
    <row r="37" spans="1:45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4.2371808722604802</v>
      </c>
      <c r="M37" s="107"/>
      <c r="N37" s="107"/>
      <c r="O37" s="107"/>
      <c r="P37" s="252"/>
      <c r="Q37" s="257">
        <v>0.53200000000000003</v>
      </c>
      <c r="R37" s="257"/>
      <c r="S37" s="257">
        <v>0</v>
      </c>
      <c r="T37" s="257">
        <v>2.3111808722604805</v>
      </c>
      <c r="U37" s="257">
        <v>1.3939999999999999</v>
      </c>
      <c r="V37" s="257">
        <v>0</v>
      </c>
      <c r="W37" s="257"/>
      <c r="X37" s="105"/>
      <c r="Y37" s="103"/>
      <c r="Z37" s="107"/>
      <c r="AA37" s="110">
        <v>11.346038787052835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24.01536266572835</v>
      </c>
      <c r="AP37" s="108"/>
      <c r="AQ37" s="111">
        <v>39.598582325041662</v>
      </c>
    </row>
    <row r="38" spans="1:45" ht="12.75" customHeight="1">
      <c r="A38" s="255" t="s">
        <v>123</v>
      </c>
      <c r="B38" s="259" t="s">
        <v>124</v>
      </c>
      <c r="C38" s="100">
        <v>86.919212076000022</v>
      </c>
      <c r="D38" s="109">
        <v>86.919212076000022</v>
      </c>
      <c r="E38" s="257"/>
      <c r="F38" s="257"/>
      <c r="G38" s="258"/>
      <c r="H38" s="104">
        <v>0</v>
      </c>
      <c r="I38" s="105"/>
      <c r="J38" s="106"/>
      <c r="K38" s="107"/>
      <c r="L38" s="104">
        <v>159.53532808461028</v>
      </c>
      <c r="M38" s="107"/>
      <c r="N38" s="107"/>
      <c r="O38" s="107"/>
      <c r="P38" s="252"/>
      <c r="Q38" s="257">
        <v>1.141</v>
      </c>
      <c r="R38" s="257"/>
      <c r="S38" s="257">
        <v>0</v>
      </c>
      <c r="T38" s="257">
        <v>2.9287186185523018</v>
      </c>
      <c r="U38" s="257">
        <v>24.175000000000001</v>
      </c>
      <c r="V38" s="257">
        <v>131.29060946605799</v>
      </c>
      <c r="W38" s="257"/>
      <c r="X38" s="105"/>
      <c r="Y38" s="103"/>
      <c r="Z38" s="107"/>
      <c r="AA38" s="110">
        <v>33.258898531824769</v>
      </c>
      <c r="AB38" s="108">
        <v>42.918678312955997</v>
      </c>
      <c r="AC38" s="109"/>
      <c r="AD38" s="107"/>
      <c r="AE38" s="107">
        <v>2.2257740888237998</v>
      </c>
      <c r="AF38" s="107">
        <v>40.692904224132199</v>
      </c>
      <c r="AG38" s="161"/>
      <c r="AH38" s="161"/>
      <c r="AI38" s="161"/>
      <c r="AJ38" s="161"/>
      <c r="AK38" s="105"/>
      <c r="AL38" s="103"/>
      <c r="AM38" s="107"/>
      <c r="AN38" s="110">
        <v>54.722939604974094</v>
      </c>
      <c r="AO38" s="110">
        <v>68.484809125239821</v>
      </c>
      <c r="AP38" s="108"/>
      <c r="AQ38" s="111">
        <v>445.83986573560492</v>
      </c>
      <c r="AR38" s="27"/>
    </row>
    <row r="39" spans="1:45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5.8401190289291582</v>
      </c>
      <c r="M39" s="107"/>
      <c r="N39" s="107"/>
      <c r="O39" s="107"/>
      <c r="P39" s="252"/>
      <c r="Q39" s="257">
        <v>0.34300000000000003</v>
      </c>
      <c r="R39" s="257"/>
      <c r="S39" s="257">
        <v>1.0397614907400001</v>
      </c>
      <c r="T39" s="257">
        <v>1.6783575381891582</v>
      </c>
      <c r="U39" s="257">
        <v>2.7789999999999999</v>
      </c>
      <c r="V39" s="257">
        <v>0</v>
      </c>
      <c r="W39" s="257"/>
      <c r="X39" s="105"/>
      <c r="Y39" s="103"/>
      <c r="Z39" s="107"/>
      <c r="AA39" s="110">
        <v>424.33966909854604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66.436062046919062</v>
      </c>
      <c r="AP39" s="108"/>
      <c r="AQ39" s="111">
        <v>496.61585017439427</v>
      </c>
    </row>
    <row r="40" spans="1:45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4.2439088997123324</v>
      </c>
      <c r="M40" s="107"/>
      <c r="N40" s="107"/>
      <c r="O40" s="107"/>
      <c r="P40" s="252"/>
      <c r="Q40" s="257">
        <v>0.14599999999999999</v>
      </c>
      <c r="R40" s="257"/>
      <c r="S40" s="257">
        <v>0</v>
      </c>
      <c r="T40" s="257">
        <v>2.3769088997123329</v>
      </c>
      <c r="U40" s="257">
        <v>1.7210000000000001</v>
      </c>
      <c r="V40" s="257">
        <v>0</v>
      </c>
      <c r="W40" s="257"/>
      <c r="X40" s="105"/>
      <c r="Y40" s="103"/>
      <c r="Z40" s="107"/>
      <c r="AA40" s="110">
        <v>12.302506516322508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16.760268691092211</v>
      </c>
      <c r="AP40" s="108"/>
      <c r="AQ40" s="111">
        <v>33.306684107127055</v>
      </c>
    </row>
    <row r="41" spans="1:45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2.4740157183972542</v>
      </c>
      <c r="M41" s="107"/>
      <c r="N41" s="107"/>
      <c r="O41" s="107"/>
      <c r="P41" s="252"/>
      <c r="Q41" s="247">
        <v>0.185</v>
      </c>
      <c r="R41" s="257"/>
      <c r="S41" s="247">
        <v>0</v>
      </c>
      <c r="T41" s="247">
        <v>1.5530157183972542</v>
      </c>
      <c r="U41" s="247">
        <v>0.73599999999999999</v>
      </c>
      <c r="V41" s="247">
        <v>0</v>
      </c>
      <c r="W41" s="257"/>
      <c r="X41" s="105"/>
      <c r="Y41" s="103"/>
      <c r="Z41" s="107"/>
      <c r="AA41" s="260">
        <v>21.979669322440099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86.522888957032833</v>
      </c>
      <c r="AP41" s="108"/>
      <c r="AQ41" s="111">
        <v>110.97657399787019</v>
      </c>
    </row>
    <row r="42" spans="1:45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1.2825632056675345</v>
      </c>
      <c r="M42" s="107"/>
      <c r="N42" s="107"/>
      <c r="O42" s="107"/>
      <c r="P42" s="252"/>
      <c r="Q42" s="257">
        <v>6.6000000000000003E-2</v>
      </c>
      <c r="R42" s="257"/>
      <c r="S42" s="257">
        <v>0</v>
      </c>
      <c r="T42" s="257">
        <v>0.99356320566753442</v>
      </c>
      <c r="U42" s="257">
        <v>0.223</v>
      </c>
      <c r="V42" s="257">
        <v>0</v>
      </c>
      <c r="W42" s="257"/>
      <c r="X42" s="105"/>
      <c r="Y42" s="103"/>
      <c r="Z42" s="107"/>
      <c r="AA42" s="110">
        <v>0.94010620004481527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2.5384229232132296</v>
      </c>
      <c r="AP42" s="108"/>
      <c r="AQ42" s="111">
        <v>4.7610923289255798</v>
      </c>
    </row>
    <row r="43" spans="1:45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12.439747456729686</v>
      </c>
      <c r="M43" s="107"/>
      <c r="N43" s="107"/>
      <c r="O43" s="107"/>
      <c r="P43" s="103"/>
      <c r="Q43" s="257">
        <v>0.29799999999999999</v>
      </c>
      <c r="R43" s="257"/>
      <c r="S43" s="257">
        <v>3.6425061461249997</v>
      </c>
      <c r="T43" s="257">
        <v>5.3652413106046861</v>
      </c>
      <c r="U43" s="257">
        <v>3.1339999999999999</v>
      </c>
      <c r="V43" s="257">
        <v>0</v>
      </c>
      <c r="W43" s="257"/>
      <c r="X43" s="105"/>
      <c r="Y43" s="103"/>
      <c r="Z43" s="107"/>
      <c r="AA43" s="110">
        <v>49.77654401470064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49.272114301876229</v>
      </c>
      <c r="AP43" s="108"/>
      <c r="AQ43" s="111">
        <v>111.48840577330655</v>
      </c>
    </row>
    <row r="44" spans="1:45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32.906462293589499</v>
      </c>
      <c r="M44" s="166"/>
      <c r="N44" s="166"/>
      <c r="O44" s="166"/>
      <c r="P44" s="167"/>
      <c r="Q44" s="263">
        <v>0.70048071711119819</v>
      </c>
      <c r="R44" s="263"/>
      <c r="S44" s="263">
        <v>0</v>
      </c>
      <c r="T44" s="263">
        <v>0.47182755562197998</v>
      </c>
      <c r="U44" s="263">
        <v>31.73415402085632</v>
      </c>
      <c r="V44" s="263">
        <v>0</v>
      </c>
      <c r="W44" s="263"/>
      <c r="X44" s="165"/>
      <c r="Y44" s="167"/>
      <c r="Z44" s="166"/>
      <c r="AA44" s="172">
        <v>4.1650610299348516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10.098567955439853</v>
      </c>
      <c r="AP44" s="170"/>
      <c r="AQ44" s="173">
        <v>47.170091278964208</v>
      </c>
    </row>
    <row r="45" spans="1:45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5036.6370716495994</v>
      </c>
      <c r="M45" s="266">
        <v>0</v>
      </c>
      <c r="N45" s="266">
        <v>0</v>
      </c>
      <c r="O45" s="266">
        <v>0</v>
      </c>
      <c r="P45" s="266">
        <v>821.48002832197096</v>
      </c>
      <c r="Q45" s="266">
        <v>0</v>
      </c>
      <c r="R45" s="266">
        <v>1102.8442060797599</v>
      </c>
      <c r="S45" s="266">
        <v>0</v>
      </c>
      <c r="T45" s="266">
        <v>1.8520724281984335</v>
      </c>
      <c r="U45" s="266">
        <v>3110.4607648196707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22.560835415583806</v>
      </c>
      <c r="AB45" s="271">
        <v>154.23960204369604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126.96834918892802</v>
      </c>
      <c r="AJ45" s="266">
        <v>27.271252854767997</v>
      </c>
      <c r="AK45" s="269">
        <v>0</v>
      </c>
      <c r="AL45" s="267">
        <v>0</v>
      </c>
      <c r="AM45" s="266">
        <v>0</v>
      </c>
      <c r="AN45" s="268">
        <v>0</v>
      </c>
      <c r="AO45" s="268">
        <v>5.6677404740883173</v>
      </c>
      <c r="AP45" s="271">
        <v>0</v>
      </c>
      <c r="AQ45" s="273">
        <v>5219.1052495829681</v>
      </c>
      <c r="AR45" s="7"/>
      <c r="AS45" s="10"/>
    </row>
    <row r="46" spans="1:45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703.5908900281911</v>
      </c>
      <c r="M46" s="153"/>
      <c r="N46" s="153"/>
      <c r="O46" s="153"/>
      <c r="P46" s="153"/>
      <c r="Q46" s="153"/>
      <c r="R46" s="153"/>
      <c r="S46" s="153"/>
      <c r="T46" s="153"/>
      <c r="U46" s="153">
        <v>703.5908900281911</v>
      </c>
      <c r="V46" s="153"/>
      <c r="W46" s="154"/>
      <c r="X46" s="154"/>
      <c r="Y46" s="154"/>
      <c r="Z46" s="153"/>
      <c r="AA46" s="159">
        <v>2.9723185667999998E-2</v>
      </c>
      <c r="AB46" s="157">
        <v>29.892474371624246</v>
      </c>
      <c r="AC46" s="158"/>
      <c r="AD46" s="153"/>
      <c r="AE46" s="153"/>
      <c r="AF46" s="153"/>
      <c r="AG46" s="153"/>
      <c r="AH46" s="153"/>
      <c r="AI46" s="153">
        <v>29.892474371624246</v>
      </c>
      <c r="AJ46" s="153">
        <v>0</v>
      </c>
      <c r="AK46" s="152"/>
      <c r="AL46" s="154"/>
      <c r="AM46" s="153"/>
      <c r="AN46" s="155"/>
      <c r="AO46" s="159"/>
      <c r="AP46" s="157"/>
      <c r="AQ46" s="186">
        <v>733.51308758548339</v>
      </c>
    </row>
    <row r="47" spans="1:45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327.29884063426698</v>
      </c>
      <c r="M47" s="161"/>
      <c r="N47" s="161"/>
      <c r="O47" s="161"/>
      <c r="P47" s="161"/>
      <c r="Q47" s="161"/>
      <c r="R47" s="161"/>
      <c r="S47" s="161"/>
      <c r="T47" s="161"/>
      <c r="U47" s="161">
        <v>327.29884063426698</v>
      </c>
      <c r="V47" s="161"/>
      <c r="W47" s="252"/>
      <c r="X47" s="252"/>
      <c r="Y47" s="252"/>
      <c r="Z47" s="161"/>
      <c r="AA47" s="260"/>
      <c r="AB47" s="253">
        <v>13.905484485636451</v>
      </c>
      <c r="AC47" s="254"/>
      <c r="AD47" s="161"/>
      <c r="AE47" s="161"/>
      <c r="AF47" s="161"/>
      <c r="AG47" s="161"/>
      <c r="AH47" s="161"/>
      <c r="AI47" s="161">
        <v>13.905484485636451</v>
      </c>
      <c r="AJ47" s="161">
        <v>0</v>
      </c>
      <c r="AK47" s="250"/>
      <c r="AL47" s="252"/>
      <c r="AM47" s="161"/>
      <c r="AN47" s="249"/>
      <c r="AO47" s="260"/>
      <c r="AP47" s="253"/>
      <c r="AQ47" s="160">
        <v>341.20432511990344</v>
      </c>
    </row>
    <row r="48" spans="1:45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1979.3195171155053</v>
      </c>
      <c r="M48" s="107"/>
      <c r="N48" s="107"/>
      <c r="O48" s="107"/>
      <c r="P48" s="107">
        <v>665.22585458348442</v>
      </c>
      <c r="Q48" s="107"/>
      <c r="R48" s="107"/>
      <c r="S48" s="107"/>
      <c r="T48" s="107">
        <v>1.8520724281984335</v>
      </c>
      <c r="U48" s="107">
        <v>1312.2415901038223</v>
      </c>
      <c r="V48" s="107"/>
      <c r="W48" s="103"/>
      <c r="X48" s="103"/>
      <c r="Y48" s="103"/>
      <c r="Z48" s="107"/>
      <c r="AA48" s="110"/>
      <c r="AB48" s="108">
        <v>77.853309025431258</v>
      </c>
      <c r="AC48" s="109"/>
      <c r="AD48" s="107"/>
      <c r="AE48" s="107"/>
      <c r="AF48" s="107"/>
      <c r="AG48" s="107"/>
      <c r="AH48" s="107"/>
      <c r="AI48" s="107">
        <v>55.751358719249858</v>
      </c>
      <c r="AJ48" s="107">
        <v>22.101950306181401</v>
      </c>
      <c r="AK48" s="105"/>
      <c r="AL48" s="103"/>
      <c r="AM48" s="107"/>
      <c r="AN48" s="104"/>
      <c r="AO48" s="110">
        <v>1.3596495940883178</v>
      </c>
      <c r="AP48" s="108"/>
      <c r="AQ48" s="111">
        <v>2058.5324757350249</v>
      </c>
    </row>
    <row r="49" spans="1:45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133.35034810985957</v>
      </c>
      <c r="M49" s="107"/>
      <c r="N49" s="107"/>
      <c r="O49" s="107"/>
      <c r="P49" s="107">
        <v>6.3704940449997824</v>
      </c>
      <c r="Q49" s="107"/>
      <c r="R49" s="107"/>
      <c r="S49" s="107"/>
      <c r="T49" s="107"/>
      <c r="U49" s="107">
        <v>126.97985406485978</v>
      </c>
      <c r="V49" s="107"/>
      <c r="W49" s="103"/>
      <c r="X49" s="103"/>
      <c r="Y49" s="103"/>
      <c r="Z49" s="107"/>
      <c r="AA49" s="110"/>
      <c r="AB49" s="108">
        <v>5.6064720236416132</v>
      </c>
      <c r="AC49" s="109"/>
      <c r="AD49" s="107"/>
      <c r="AE49" s="107"/>
      <c r="AF49" s="107"/>
      <c r="AG49" s="107"/>
      <c r="AH49" s="107"/>
      <c r="AI49" s="107">
        <v>5.3948140704242524</v>
      </c>
      <c r="AJ49" s="107">
        <v>0.21165795321736039</v>
      </c>
      <c r="AK49" s="105"/>
      <c r="AL49" s="103"/>
      <c r="AM49" s="107"/>
      <c r="AN49" s="104"/>
      <c r="AO49" s="110"/>
      <c r="AP49" s="108"/>
      <c r="AQ49" s="111">
        <v>138.95682013350117</v>
      </c>
    </row>
    <row r="50" spans="1:45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38.043221783939138</v>
      </c>
      <c r="M50" s="107"/>
      <c r="N50" s="107"/>
      <c r="O50" s="107"/>
      <c r="P50" s="107"/>
      <c r="Q50" s="107"/>
      <c r="R50" s="279"/>
      <c r="S50" s="107"/>
      <c r="T50" s="107"/>
      <c r="U50" s="107">
        <v>38.043221783939138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4.30809088</v>
      </c>
      <c r="AP50" s="108"/>
      <c r="AQ50" s="111">
        <v>42.35131266393914</v>
      </c>
    </row>
    <row r="51" spans="1:45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5.5528743940352552</v>
      </c>
      <c r="M51" s="107"/>
      <c r="N51" s="107"/>
      <c r="O51" s="107"/>
      <c r="P51" s="107">
        <v>0.66818888888888883</v>
      </c>
      <c r="Q51" s="107"/>
      <c r="R51" s="107">
        <v>4.8846855051463667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5.5528743940352552</v>
      </c>
    </row>
    <row r="52" spans="1:45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1097.9595205746136</v>
      </c>
      <c r="M52" s="279"/>
      <c r="N52" s="279"/>
      <c r="O52" s="279"/>
      <c r="P52" s="161"/>
      <c r="Q52" s="279"/>
      <c r="R52" s="279">
        <v>1097.9595205746136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1097.9595205746136</v>
      </c>
    </row>
    <row r="53" spans="1:45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176.94052908505745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176.94052908505745</v>
      </c>
      <c r="V53" s="279"/>
      <c r="W53" s="281"/>
      <c r="X53" s="281"/>
      <c r="Y53" s="281"/>
      <c r="Z53" s="279"/>
      <c r="AA53" s="260"/>
      <c r="AB53" s="285">
        <v>7.5174228460587225</v>
      </c>
      <c r="AC53" s="286"/>
      <c r="AD53" s="279"/>
      <c r="AE53" s="279"/>
      <c r="AF53" s="279"/>
      <c r="AG53" s="279"/>
      <c r="AH53" s="279"/>
      <c r="AI53" s="107">
        <v>7.5174228460587225</v>
      </c>
      <c r="AJ53" s="107">
        <v>0</v>
      </c>
      <c r="AK53" s="279"/>
      <c r="AL53" s="279"/>
      <c r="AM53" s="279"/>
      <c r="AN53" s="260"/>
      <c r="AO53" s="110"/>
      <c r="AP53" s="285"/>
      <c r="AQ53" s="287">
        <v>184.45795193111618</v>
      </c>
    </row>
    <row r="54" spans="1:45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83.913724293678101</v>
      </c>
      <c r="M54" s="279"/>
      <c r="N54" s="279"/>
      <c r="O54" s="279"/>
      <c r="P54" s="279"/>
      <c r="Q54" s="279"/>
      <c r="R54" s="279"/>
      <c r="S54" s="279"/>
      <c r="T54" s="279"/>
      <c r="U54" s="279">
        <v>83.913724293678101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83.913724293678101</v>
      </c>
    </row>
    <row r="55" spans="1:45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490.66760563045341</v>
      </c>
      <c r="M55" s="166"/>
      <c r="N55" s="166"/>
      <c r="O55" s="166"/>
      <c r="P55" s="166">
        <v>149.21549080459798</v>
      </c>
      <c r="Q55" s="166"/>
      <c r="R55" s="166"/>
      <c r="S55" s="166">
        <v>0</v>
      </c>
      <c r="T55" s="166"/>
      <c r="U55" s="166">
        <v>341.45211482585546</v>
      </c>
      <c r="V55" s="166"/>
      <c r="W55" s="167"/>
      <c r="X55" s="167"/>
      <c r="Y55" s="167"/>
      <c r="Z55" s="166"/>
      <c r="AA55" s="172">
        <v>22.531112229915806</v>
      </c>
      <c r="AB55" s="170">
        <v>19.464439291303719</v>
      </c>
      <c r="AC55" s="171"/>
      <c r="AD55" s="166"/>
      <c r="AE55" s="166"/>
      <c r="AF55" s="166"/>
      <c r="AG55" s="166"/>
      <c r="AH55" s="166"/>
      <c r="AI55" s="166">
        <v>14.506794695934483</v>
      </c>
      <c r="AJ55" s="166">
        <v>4.957644595369235</v>
      </c>
      <c r="AK55" s="165"/>
      <c r="AL55" s="167"/>
      <c r="AM55" s="166"/>
      <c r="AN55" s="168"/>
      <c r="AO55" s="172"/>
      <c r="AP55" s="170"/>
      <c r="AQ55" s="173">
        <v>532.66315715167298</v>
      </c>
    </row>
    <row r="56" spans="1:45" s="11" customFormat="1" ht="12.75" customHeight="1">
      <c r="A56" s="290" t="s">
        <v>146</v>
      </c>
      <c r="B56" s="291"/>
      <c r="C56" s="292">
        <v>216.74918330365395</v>
      </c>
      <c r="D56" s="293">
        <v>115.26451795563632</v>
      </c>
      <c r="E56" s="102">
        <v>89.647280058277374</v>
      </c>
      <c r="F56" s="294"/>
      <c r="G56" s="294">
        <v>11.837385289740231</v>
      </c>
      <c r="H56" s="295">
        <v>196.53880633</v>
      </c>
      <c r="I56" s="293"/>
      <c r="J56" s="296">
        <v>127.70399999999999</v>
      </c>
      <c r="K56" s="184">
        <v>68.834806329999992</v>
      </c>
      <c r="L56" s="295">
        <v>1258.1411159370996</v>
      </c>
      <c r="M56" s="184"/>
      <c r="N56" s="184"/>
      <c r="O56" s="184"/>
      <c r="P56" s="184">
        <v>0</v>
      </c>
      <c r="Q56" s="184">
        <v>866.95193213280879</v>
      </c>
      <c r="R56" s="184"/>
      <c r="S56" s="184">
        <v>0</v>
      </c>
      <c r="T56" s="184">
        <v>53.841522983216713</v>
      </c>
      <c r="U56" s="184">
        <v>331.94378909778288</v>
      </c>
      <c r="V56" s="184">
        <v>5.4038717232911377</v>
      </c>
      <c r="W56" s="294"/>
      <c r="X56" s="294"/>
      <c r="Y56" s="294"/>
      <c r="Z56" s="184"/>
      <c r="AA56" s="295">
        <v>604.09375845912712</v>
      </c>
      <c r="AB56" s="297">
        <v>71.512940102673923</v>
      </c>
      <c r="AC56" s="298"/>
      <c r="AD56" s="184"/>
      <c r="AE56" s="184">
        <v>29.774769107403241</v>
      </c>
      <c r="AF56" s="184"/>
      <c r="AG56" s="184"/>
      <c r="AH56" s="184"/>
      <c r="AI56" s="184"/>
      <c r="AJ56" s="184"/>
      <c r="AK56" s="293"/>
      <c r="AL56" s="294">
        <v>13.379590942008413</v>
      </c>
      <c r="AM56" s="184">
        <v>28.35858005326228</v>
      </c>
      <c r="AN56" s="295"/>
      <c r="AO56" s="295">
        <v>702.94473599999992</v>
      </c>
      <c r="AP56" s="297"/>
      <c r="AQ56" s="185">
        <v>3049.9805401325543</v>
      </c>
      <c r="AR56" s="7"/>
      <c r="AS56" s="16"/>
    </row>
    <row r="57" spans="1:45" s="11" customFormat="1" ht="12.75" customHeight="1">
      <c r="A57" s="290" t="s">
        <v>171</v>
      </c>
      <c r="B57" s="291"/>
      <c r="C57" s="292">
        <v>0.5629153383458646</v>
      </c>
      <c r="D57" s="184">
        <v>0.5629153383458646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234.63379710333268</v>
      </c>
      <c r="M57" s="184">
        <v>0</v>
      </c>
      <c r="N57" s="184">
        <v>0</v>
      </c>
      <c r="O57" s="184">
        <v>0</v>
      </c>
      <c r="P57" s="184">
        <v>0</v>
      </c>
      <c r="Q57" s="184">
        <v>61.585999999999999</v>
      </c>
      <c r="R57" s="184">
        <v>0</v>
      </c>
      <c r="S57" s="184">
        <v>0.64284746861564912</v>
      </c>
      <c r="T57" s="184">
        <v>66.499949634717041</v>
      </c>
      <c r="U57" s="184">
        <v>105.905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343.97729138913144</v>
      </c>
      <c r="AB57" s="297">
        <v>39.433814247868156</v>
      </c>
      <c r="AC57" s="298">
        <v>0</v>
      </c>
      <c r="AD57" s="184">
        <v>0</v>
      </c>
      <c r="AE57" s="184">
        <v>17.993123247239996</v>
      </c>
      <c r="AF57" s="184">
        <v>0</v>
      </c>
      <c r="AG57" s="184">
        <v>0</v>
      </c>
      <c r="AH57" s="184">
        <v>5.621744734795584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15.65245160417537</v>
      </c>
      <c r="AN57" s="295">
        <v>0</v>
      </c>
      <c r="AO57" s="295">
        <v>1083.6850200095046</v>
      </c>
      <c r="AP57" s="297">
        <v>0</v>
      </c>
      <c r="AQ57" s="299">
        <v>1702.2928380881826</v>
      </c>
      <c r="AR57" s="7"/>
      <c r="AS57" s="16"/>
    </row>
    <row r="58" spans="1:45" ht="12.75" customHeight="1">
      <c r="A58" s="290" t="s">
        <v>172</v>
      </c>
      <c r="B58" s="291"/>
      <c r="C58" s="292">
        <v>0.56091563909774433</v>
      </c>
      <c r="D58" s="298">
        <v>0.56091563909774433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112.21994620323474</v>
      </c>
      <c r="M58" s="184">
        <v>0</v>
      </c>
      <c r="N58" s="294">
        <v>0</v>
      </c>
      <c r="O58" s="294">
        <v>0</v>
      </c>
      <c r="P58" s="297">
        <v>0</v>
      </c>
      <c r="Q58" s="297">
        <v>15.885000000000002</v>
      </c>
      <c r="R58" s="297">
        <v>0</v>
      </c>
      <c r="S58" s="297">
        <v>0</v>
      </c>
      <c r="T58" s="297">
        <v>44.474946203234737</v>
      </c>
      <c r="U58" s="297">
        <v>51.86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217.21020814610509</v>
      </c>
      <c r="AB58" s="297">
        <v>23.753095666414968</v>
      </c>
      <c r="AC58" s="298">
        <v>0</v>
      </c>
      <c r="AD58" s="184">
        <v>0</v>
      </c>
      <c r="AE58" s="184">
        <v>7.1297186461823907</v>
      </c>
      <c r="AF58" s="184"/>
      <c r="AG58" s="184">
        <v>0</v>
      </c>
      <c r="AH58" s="184">
        <v>0.80443075440000011</v>
      </c>
      <c r="AI58" s="184">
        <v>0</v>
      </c>
      <c r="AJ58" s="184">
        <v>0</v>
      </c>
      <c r="AK58" s="184"/>
      <c r="AL58" s="184">
        <v>0.16649466165720572</v>
      </c>
      <c r="AM58" s="294">
        <v>15.65245160417537</v>
      </c>
      <c r="AN58" s="295">
        <v>0</v>
      </c>
      <c r="AO58" s="295">
        <v>845.19770764258874</v>
      </c>
      <c r="AP58" s="297">
        <v>0</v>
      </c>
      <c r="AQ58" s="299">
        <v>1198.9418732974414</v>
      </c>
      <c r="AS58" s="17"/>
    </row>
    <row r="59" spans="1:45" ht="12.75" customHeight="1">
      <c r="A59" s="98" t="s">
        <v>173</v>
      </c>
      <c r="B59" s="302" t="s">
        <v>174</v>
      </c>
      <c r="C59" s="151">
        <v>3.9993984962406011E-3</v>
      </c>
      <c r="D59" s="109">
        <v>3.9993984962406011E-3</v>
      </c>
      <c r="E59" s="157"/>
      <c r="F59" s="157"/>
      <c r="G59" s="200"/>
      <c r="H59" s="155">
        <v>0</v>
      </c>
      <c r="I59" s="275"/>
      <c r="J59" s="303"/>
      <c r="K59" s="275"/>
      <c r="L59" s="155">
        <v>29.541941664822474</v>
      </c>
      <c r="M59" s="202"/>
      <c r="N59" s="304"/>
      <c r="O59" s="304"/>
      <c r="P59" s="157"/>
      <c r="Q59" s="257">
        <v>6.4770000000000003</v>
      </c>
      <c r="R59" s="157"/>
      <c r="S59" s="257">
        <v>0</v>
      </c>
      <c r="T59" s="257">
        <v>12.226941664822474</v>
      </c>
      <c r="U59" s="257">
        <v>10.837999999999999</v>
      </c>
      <c r="V59" s="257">
        <v>0</v>
      </c>
      <c r="W59" s="157"/>
      <c r="X59" s="157"/>
      <c r="Y59" s="304"/>
      <c r="Z59" s="275"/>
      <c r="AA59" s="110">
        <v>47.451161673618081</v>
      </c>
      <c r="AB59" s="157">
        <v>2.7646609539144573</v>
      </c>
      <c r="AC59" s="305"/>
      <c r="AD59" s="202"/>
      <c r="AE59" s="153">
        <v>2.7646609539144573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235.00697165115125</v>
      </c>
      <c r="AP59" s="157"/>
      <c r="AQ59" s="186">
        <v>314.76873534200251</v>
      </c>
      <c r="AS59" s="17"/>
    </row>
    <row r="60" spans="1:45" ht="12.75" customHeight="1">
      <c r="A60" s="98" t="s">
        <v>175</v>
      </c>
      <c r="B60" s="302" t="s">
        <v>176</v>
      </c>
      <c r="C60" s="100">
        <v>8.9986466165413535E-3</v>
      </c>
      <c r="D60" s="109">
        <v>8.9986466165413535E-3</v>
      </c>
      <c r="E60" s="108"/>
      <c r="F60" s="108"/>
      <c r="G60" s="306"/>
      <c r="H60" s="104">
        <v>0</v>
      </c>
      <c r="I60" s="101"/>
      <c r="J60" s="307"/>
      <c r="K60" s="101"/>
      <c r="L60" s="104">
        <v>24.233182643347472</v>
      </c>
      <c r="M60" s="112"/>
      <c r="N60" s="102"/>
      <c r="O60" s="102"/>
      <c r="P60" s="108"/>
      <c r="Q60" s="257">
        <v>1.206</v>
      </c>
      <c r="R60" s="108"/>
      <c r="S60" s="257">
        <v>0</v>
      </c>
      <c r="T60" s="257">
        <v>2.0971826433474732</v>
      </c>
      <c r="U60" s="257">
        <v>20.93</v>
      </c>
      <c r="V60" s="257">
        <v>0</v>
      </c>
      <c r="W60" s="108"/>
      <c r="X60" s="108"/>
      <c r="Y60" s="102"/>
      <c r="Z60" s="101"/>
      <c r="AA60" s="110">
        <v>24.721588928372107</v>
      </c>
      <c r="AB60" s="108">
        <v>2.394443197927245E-2</v>
      </c>
      <c r="AC60" s="308"/>
      <c r="AD60" s="112"/>
      <c r="AE60" s="107">
        <v>2.394443197927245E-2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87.492123377295201</v>
      </c>
      <c r="AP60" s="108"/>
      <c r="AQ60" s="111">
        <v>136.47983802761058</v>
      </c>
      <c r="AS60" s="17"/>
    </row>
    <row r="61" spans="1:45" ht="12.75" customHeight="1">
      <c r="A61" s="98" t="s">
        <v>177</v>
      </c>
      <c r="B61" s="302" t="s">
        <v>178</v>
      </c>
      <c r="C61" s="100">
        <v>0.47092917293233083</v>
      </c>
      <c r="D61" s="109">
        <v>0.47092917293233083</v>
      </c>
      <c r="E61" s="108"/>
      <c r="F61" s="108"/>
      <c r="G61" s="306"/>
      <c r="H61" s="104">
        <v>0</v>
      </c>
      <c r="I61" s="101"/>
      <c r="J61" s="307"/>
      <c r="K61" s="101"/>
      <c r="L61" s="104">
        <v>29.616152866948283</v>
      </c>
      <c r="M61" s="112"/>
      <c r="N61" s="102"/>
      <c r="O61" s="102"/>
      <c r="P61" s="108"/>
      <c r="Q61" s="257">
        <v>3.4809999999999999</v>
      </c>
      <c r="R61" s="108"/>
      <c r="S61" s="257">
        <v>0</v>
      </c>
      <c r="T61" s="257">
        <v>21.230152866948284</v>
      </c>
      <c r="U61" s="257">
        <v>4.9050000000000002</v>
      </c>
      <c r="V61" s="257">
        <v>0</v>
      </c>
      <c r="W61" s="108"/>
      <c r="X61" s="108"/>
      <c r="Y61" s="102"/>
      <c r="Z61" s="101"/>
      <c r="AA61" s="110">
        <v>33.646803120530713</v>
      </c>
      <c r="AB61" s="108">
        <v>1.7958323984454334</v>
      </c>
      <c r="AC61" s="308"/>
      <c r="AD61" s="112"/>
      <c r="AE61" s="107">
        <v>1.7958323984454334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122.94910614609984</v>
      </c>
      <c r="AP61" s="108"/>
      <c r="AQ61" s="111">
        <v>188.4788237049566</v>
      </c>
      <c r="AS61" s="17"/>
    </row>
    <row r="62" spans="1:45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3.3425342041178365</v>
      </c>
      <c r="M62" s="112"/>
      <c r="N62" s="102"/>
      <c r="O62" s="102"/>
      <c r="P62" s="108"/>
      <c r="Q62" s="257">
        <v>0.45900000000000002</v>
      </c>
      <c r="R62" s="108"/>
      <c r="S62" s="257">
        <v>0</v>
      </c>
      <c r="T62" s="257">
        <v>1.0455342041178364</v>
      </c>
      <c r="U62" s="257">
        <v>1.8380000000000001</v>
      </c>
      <c r="V62" s="257">
        <v>0</v>
      </c>
      <c r="W62" s="108"/>
      <c r="X62" s="108"/>
      <c r="Y62" s="102"/>
      <c r="Z62" s="101"/>
      <c r="AA62" s="110">
        <v>15.62866906165873</v>
      </c>
      <c r="AB62" s="108">
        <v>0.14182471249261372</v>
      </c>
      <c r="AC62" s="308"/>
      <c r="AD62" s="112"/>
      <c r="AE62" s="107">
        <v>0.14182471249261372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239.51927385821824</v>
      </c>
      <c r="AP62" s="108"/>
      <c r="AQ62" s="111">
        <v>258.64430003197617</v>
      </c>
      <c r="AS62" s="17"/>
    </row>
    <row r="63" spans="1:45" ht="12.75" customHeight="1">
      <c r="A63" s="98" t="s">
        <v>181</v>
      </c>
      <c r="B63" s="302" t="s">
        <v>182</v>
      </c>
      <c r="C63" s="100">
        <v>5.799127819548873E-2</v>
      </c>
      <c r="D63" s="286">
        <v>5.799127819548873E-2</v>
      </c>
      <c r="E63" s="108"/>
      <c r="F63" s="108"/>
      <c r="G63" s="306"/>
      <c r="H63" s="104">
        <v>0</v>
      </c>
      <c r="I63" s="101"/>
      <c r="J63" s="307"/>
      <c r="K63" s="101"/>
      <c r="L63" s="104">
        <v>3.8913699357981062</v>
      </c>
      <c r="M63" s="112"/>
      <c r="N63" s="102"/>
      <c r="O63" s="102"/>
      <c r="P63" s="108"/>
      <c r="Q63" s="309">
        <v>0.69</v>
      </c>
      <c r="R63" s="108"/>
      <c r="S63" s="309">
        <v>0</v>
      </c>
      <c r="T63" s="309">
        <v>0.18036993579810628</v>
      </c>
      <c r="U63" s="309">
        <v>3.0209999999999999</v>
      </c>
      <c r="V63" s="309">
        <v>0</v>
      </c>
      <c r="W63" s="108"/>
      <c r="X63" s="108"/>
      <c r="Y63" s="102"/>
      <c r="Z63" s="101"/>
      <c r="AA63" s="343">
        <v>12.813804304599236</v>
      </c>
      <c r="AB63" s="108">
        <v>0.73122611505932</v>
      </c>
      <c r="AC63" s="308"/>
      <c r="AD63" s="112"/>
      <c r="AE63" s="107">
        <v>0.73122611505932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42.924539403414784</v>
      </c>
      <c r="AP63" s="108"/>
      <c r="AQ63" s="111">
        <v>60.41893103706694</v>
      </c>
      <c r="AS63" s="17"/>
    </row>
    <row r="64" spans="1:45" ht="12.75" customHeight="1">
      <c r="A64" s="162" t="s">
        <v>183</v>
      </c>
      <c r="B64" s="310"/>
      <c r="C64" s="164">
        <v>6.9989473684210534E-3</v>
      </c>
      <c r="D64" s="286">
        <v>6.9989473684210534E-3</v>
      </c>
      <c r="E64" s="170"/>
      <c r="F64" s="170"/>
      <c r="G64" s="311"/>
      <c r="H64" s="168">
        <v>0</v>
      </c>
      <c r="I64" s="288"/>
      <c r="J64" s="312"/>
      <c r="K64" s="288"/>
      <c r="L64" s="168">
        <v>21.594764888200565</v>
      </c>
      <c r="M64" s="289"/>
      <c r="N64" s="313"/>
      <c r="O64" s="313"/>
      <c r="P64" s="170"/>
      <c r="Q64" s="309">
        <v>3.5719999999999996</v>
      </c>
      <c r="R64" s="170"/>
      <c r="S64" s="309">
        <v>0</v>
      </c>
      <c r="T64" s="309">
        <v>7.6947648882005675</v>
      </c>
      <c r="U64" s="309">
        <v>10.327999999999999</v>
      </c>
      <c r="V64" s="309">
        <v>0</v>
      </c>
      <c r="W64" s="170"/>
      <c r="X64" s="170"/>
      <c r="Y64" s="313"/>
      <c r="Z64" s="288"/>
      <c r="AA64" s="343">
        <v>82.948181057326195</v>
      </c>
      <c r="AB64" s="170">
        <v>18.29560705452387</v>
      </c>
      <c r="AC64" s="314"/>
      <c r="AD64" s="289"/>
      <c r="AE64" s="166">
        <v>1.672230034291293</v>
      </c>
      <c r="AF64" s="166"/>
      <c r="AG64" s="166"/>
      <c r="AH64" s="166">
        <v>0.80443075440000011</v>
      </c>
      <c r="AI64" s="166"/>
      <c r="AJ64" s="166"/>
      <c r="AK64" s="166"/>
      <c r="AL64" s="166">
        <v>0.16649466165720572</v>
      </c>
      <c r="AM64" s="167">
        <v>15.65245160417537</v>
      </c>
      <c r="AN64" s="168"/>
      <c r="AO64" s="343">
        <v>117.30569320640937</v>
      </c>
      <c r="AP64" s="170"/>
      <c r="AQ64" s="173">
        <v>240.15124515382843</v>
      </c>
      <c r="AS64" s="17"/>
    </row>
    <row r="65" spans="1:45" ht="12.75" customHeight="1">
      <c r="A65" s="290" t="s">
        <v>184</v>
      </c>
      <c r="B65" s="291"/>
      <c r="C65" s="164">
        <v>1.9996992481203005E-3</v>
      </c>
      <c r="D65" s="298">
        <v>1.9996992481203005E-3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122.41385090009794</v>
      </c>
      <c r="M65" s="166"/>
      <c r="N65" s="167"/>
      <c r="O65" s="167"/>
      <c r="P65" s="263"/>
      <c r="Q65" s="297">
        <v>45.701000000000001</v>
      </c>
      <c r="R65" s="263"/>
      <c r="S65" s="297">
        <v>0.64284746861564912</v>
      </c>
      <c r="T65" s="297">
        <v>22.025003431482311</v>
      </c>
      <c r="U65" s="297">
        <v>54.044999999999995</v>
      </c>
      <c r="V65" s="297">
        <v>0</v>
      </c>
      <c r="W65" s="263"/>
      <c r="X65" s="263"/>
      <c r="Y65" s="167"/>
      <c r="Z65" s="166"/>
      <c r="AA65" s="295">
        <v>126.76708324302638</v>
      </c>
      <c r="AB65" s="170">
        <v>15.68071858145319</v>
      </c>
      <c r="AC65" s="171"/>
      <c r="AD65" s="166"/>
      <c r="AE65" s="166">
        <v>10.863404601057606</v>
      </c>
      <c r="AF65" s="166"/>
      <c r="AG65" s="166"/>
      <c r="AH65" s="166">
        <v>4.8173139803955838</v>
      </c>
      <c r="AI65" s="166"/>
      <c r="AJ65" s="166"/>
      <c r="AK65" s="166"/>
      <c r="AL65" s="166"/>
      <c r="AM65" s="167"/>
      <c r="AN65" s="168"/>
      <c r="AO65" s="295">
        <v>238.48731236691594</v>
      </c>
      <c r="AP65" s="170"/>
      <c r="AQ65" s="315">
        <v>503.35096479074156</v>
      </c>
      <c r="AS65" s="17"/>
    </row>
    <row r="66" spans="1:45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4.9546664516755552</v>
      </c>
      <c r="M66" s="201"/>
      <c r="N66" s="203"/>
      <c r="O66" s="154"/>
      <c r="P66" s="203"/>
      <c r="Q66" s="203">
        <v>0.13400000000000001</v>
      </c>
      <c r="R66" s="203"/>
      <c r="S66" s="203">
        <v>2.4767239801116617E-3</v>
      </c>
      <c r="T66" s="203">
        <v>1.2411897276954431</v>
      </c>
      <c r="U66" s="203">
        <v>3.577</v>
      </c>
      <c r="V66" s="203">
        <v>0</v>
      </c>
      <c r="W66" s="203"/>
      <c r="X66" s="203"/>
      <c r="Y66" s="154"/>
      <c r="Z66" s="153"/>
      <c r="AA66" s="159">
        <v>7.1458978889555871</v>
      </c>
      <c r="AB66" s="157">
        <v>4.8173139803955838</v>
      </c>
      <c r="AC66" s="158"/>
      <c r="AD66" s="153"/>
      <c r="AE66" s="153">
        <v>0</v>
      </c>
      <c r="AF66" s="153"/>
      <c r="AG66" s="153"/>
      <c r="AH66" s="153">
        <v>4.8173139803955838</v>
      </c>
      <c r="AI66" s="153"/>
      <c r="AJ66" s="153"/>
      <c r="AK66" s="153"/>
      <c r="AL66" s="153"/>
      <c r="AM66" s="154"/>
      <c r="AN66" s="155"/>
      <c r="AO66" s="159">
        <v>59.86489549200877</v>
      </c>
      <c r="AP66" s="157"/>
      <c r="AQ66" s="186">
        <v>76.782773813035504</v>
      </c>
      <c r="AS66" s="17"/>
    </row>
    <row r="67" spans="1:45" ht="12.75" customHeight="1">
      <c r="A67" s="319" t="s">
        <v>187</v>
      </c>
      <c r="B67" s="320">
        <v>84</v>
      </c>
      <c r="C67" s="100">
        <v>1.9996992481203005E-3</v>
      </c>
      <c r="D67" s="254">
        <v>1.9996992481203005E-3</v>
      </c>
      <c r="E67" s="257"/>
      <c r="F67" s="257"/>
      <c r="G67" s="258"/>
      <c r="H67" s="104">
        <v>0</v>
      </c>
      <c r="I67" s="321"/>
      <c r="J67" s="106"/>
      <c r="K67" s="322"/>
      <c r="L67" s="104">
        <v>38.631990200396601</v>
      </c>
      <c r="M67" s="321"/>
      <c r="N67" s="257"/>
      <c r="O67" s="103"/>
      <c r="P67" s="257"/>
      <c r="Q67" s="247">
        <v>6.774</v>
      </c>
      <c r="R67" s="257"/>
      <c r="S67" s="247">
        <v>0.3742605125502067</v>
      </c>
      <c r="T67" s="247">
        <v>8.4957296878463957</v>
      </c>
      <c r="U67" s="247">
        <v>22.988</v>
      </c>
      <c r="V67" s="247">
        <v>0</v>
      </c>
      <c r="W67" s="257"/>
      <c r="X67" s="257"/>
      <c r="Y67" s="103"/>
      <c r="Z67" s="107"/>
      <c r="AA67" s="260">
        <v>49.167758781459156</v>
      </c>
      <c r="AB67" s="108">
        <v>6.7210178686434734</v>
      </c>
      <c r="AC67" s="109"/>
      <c r="AD67" s="107"/>
      <c r="AE67" s="107">
        <v>6.7210178686434734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88.902470748741692</v>
      </c>
      <c r="AP67" s="108"/>
      <c r="AQ67" s="111">
        <v>183.42523729848904</v>
      </c>
      <c r="AS67" s="17"/>
    </row>
    <row r="68" spans="1:45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55.578415459328696</v>
      </c>
      <c r="M68" s="321"/>
      <c r="N68" s="257"/>
      <c r="O68" s="103"/>
      <c r="P68" s="257"/>
      <c r="Q68" s="247">
        <v>27.623000000000001</v>
      </c>
      <c r="R68" s="257"/>
      <c r="S68" s="247">
        <v>5.5588693775839519E-2</v>
      </c>
      <c r="T68" s="247">
        <v>8.8488267655528574</v>
      </c>
      <c r="U68" s="247">
        <v>19.050999999999998</v>
      </c>
      <c r="V68" s="247">
        <v>0</v>
      </c>
      <c r="W68" s="257"/>
      <c r="X68" s="257"/>
      <c r="Y68" s="103"/>
      <c r="Z68" s="107"/>
      <c r="AA68" s="260">
        <v>30.572880817411011</v>
      </c>
      <c r="AB68" s="108">
        <v>1.5177086116092688</v>
      </c>
      <c r="AC68" s="109"/>
      <c r="AD68" s="107"/>
      <c r="AE68" s="107">
        <v>1.5177086116092688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57.582439487716599</v>
      </c>
      <c r="AP68" s="108"/>
      <c r="AQ68" s="111">
        <v>145.25144437606559</v>
      </c>
      <c r="AS68" s="17"/>
    </row>
    <row r="69" spans="1:45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23.248778788697109</v>
      </c>
      <c r="M69" s="323"/>
      <c r="N69" s="263"/>
      <c r="O69" s="167"/>
      <c r="P69" s="263"/>
      <c r="Q69" s="263">
        <v>11.17</v>
      </c>
      <c r="R69" s="263"/>
      <c r="S69" s="263">
        <v>0.21052153830949127</v>
      </c>
      <c r="T69" s="263">
        <v>3.4392572503876191</v>
      </c>
      <c r="U69" s="263">
        <v>8.4290000000000003</v>
      </c>
      <c r="V69" s="263">
        <v>0</v>
      </c>
      <c r="W69" s="263"/>
      <c r="X69" s="263"/>
      <c r="Y69" s="167"/>
      <c r="Z69" s="166"/>
      <c r="AA69" s="172">
        <v>39.880545755200622</v>
      </c>
      <c r="AB69" s="285">
        <v>2.6246781208048646</v>
      </c>
      <c r="AC69" s="286"/>
      <c r="AD69" s="279"/>
      <c r="AE69" s="279">
        <v>2.6246781208048646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32.137506638448876</v>
      </c>
      <c r="AP69" s="285"/>
      <c r="AQ69" s="287">
        <v>97.89150930315148</v>
      </c>
      <c r="AS69" s="17"/>
    </row>
    <row r="70" spans="1:45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175.46549158593075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28">
        <v>0</v>
      </c>
      <c r="U70" s="326">
        <v>175.46549158593075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47.988</v>
      </c>
      <c r="AP70" s="195"/>
      <c r="AQ70" s="185">
        <v>223.45349158593075</v>
      </c>
      <c r="AR70" s="7"/>
      <c r="AS70" s="10"/>
    </row>
    <row r="71" spans="1:45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27.249865733664667</v>
      </c>
      <c r="M71" s="166"/>
      <c r="N71" s="166"/>
      <c r="O71" s="166"/>
      <c r="P71" s="166"/>
      <c r="Q71" s="166"/>
      <c r="R71" s="166"/>
      <c r="S71" s="166"/>
      <c r="T71" s="166"/>
      <c r="U71" s="289">
        <v>27.249865733664667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27.249865733664667</v>
      </c>
      <c r="AR71" s="7"/>
      <c r="AS71" s="10"/>
    </row>
    <row r="72" spans="1:45" s="11" customFormat="1" ht="12.75" customHeight="1" thickBot="1">
      <c r="A72" s="218" t="s">
        <v>149</v>
      </c>
      <c r="B72" s="219"/>
      <c r="C72" s="220">
        <v>-2.5795282366672154</v>
      </c>
      <c r="D72" s="221">
        <v>0.17717314836221476</v>
      </c>
      <c r="E72" s="222">
        <v>-3.4486883993195221</v>
      </c>
      <c r="F72" s="226">
        <v>0</v>
      </c>
      <c r="G72" s="226">
        <v>0.69246574229020652</v>
      </c>
      <c r="H72" s="223">
        <v>1.9457250152908045</v>
      </c>
      <c r="I72" s="221">
        <v>-0.45741265470912973</v>
      </c>
      <c r="J72" s="224">
        <v>0</v>
      </c>
      <c r="K72" s="222">
        <v>2.4031376700000067</v>
      </c>
      <c r="L72" s="223">
        <v>-35.710021646703353</v>
      </c>
      <c r="M72" s="222">
        <v>0</v>
      </c>
      <c r="N72" s="222">
        <v>-0.14794174855289199</v>
      </c>
      <c r="O72" s="222">
        <v>-5.2567080980734033</v>
      </c>
      <c r="P72" s="222">
        <v>-22.258761088637812</v>
      </c>
      <c r="Q72" s="222">
        <v>0.63443164512011663</v>
      </c>
      <c r="R72" s="222">
        <v>4.1043924247198902</v>
      </c>
      <c r="S72" s="222">
        <v>8.0001198650984477</v>
      </c>
      <c r="T72" s="222">
        <v>6.5570336698137908</v>
      </c>
      <c r="U72" s="222">
        <v>-35.674430129819029</v>
      </c>
      <c r="V72" s="222">
        <v>0.82532907951213019</v>
      </c>
      <c r="W72" s="226">
        <v>7.506512734116022</v>
      </c>
      <c r="X72" s="226">
        <v>0</v>
      </c>
      <c r="Y72" s="226">
        <v>0</v>
      </c>
      <c r="Z72" s="222">
        <v>0</v>
      </c>
      <c r="AA72" s="223">
        <v>-40.274710307198802</v>
      </c>
      <c r="AB72" s="225">
        <v>-2.4161461805552449</v>
      </c>
      <c r="AC72" s="331">
        <v>0</v>
      </c>
      <c r="AD72" s="222">
        <v>0</v>
      </c>
      <c r="AE72" s="222">
        <v>-4.7196692573068049</v>
      </c>
      <c r="AF72" s="222">
        <v>0</v>
      </c>
      <c r="AG72" s="222">
        <v>0</v>
      </c>
      <c r="AH72" s="222">
        <v>0</v>
      </c>
      <c r="AI72" s="222">
        <v>1.6583711868480009</v>
      </c>
      <c r="AJ72" s="222">
        <v>0.64515188990400318</v>
      </c>
      <c r="AK72" s="221">
        <v>0</v>
      </c>
      <c r="AL72" s="226">
        <v>0</v>
      </c>
      <c r="AM72" s="222">
        <v>0</v>
      </c>
      <c r="AN72" s="223">
        <v>0</v>
      </c>
      <c r="AO72" s="223">
        <v>-36.310735582032066</v>
      </c>
      <c r="AP72" s="225">
        <v>0</v>
      </c>
      <c r="AQ72" s="227">
        <v>-115.34541693786588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4" t="s">
        <v>439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Q74" s="182"/>
      <c r="R74" s="182"/>
      <c r="S74" s="182"/>
      <c r="T74" s="182"/>
      <c r="U74" s="182"/>
      <c r="V74" s="182"/>
      <c r="W74" s="174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S74" s="10"/>
    </row>
    <row r="75" spans="1:45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34" t="s">
        <v>150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44" t="s">
        <v>151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5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N30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3" width="7.54296875" style="12" bestFit="1" customWidth="1"/>
    <col min="4" max="4" width="8" style="12" bestFit="1" customWidth="1"/>
    <col min="5" max="5" width="9.26953125" style="12" bestFit="1" customWidth="1"/>
    <col min="6" max="6" width="6.1796875" style="14" customWidth="1"/>
    <col min="7" max="7" width="6" style="14" bestFit="1" customWidth="1"/>
    <col min="8" max="8" width="6.453125" style="12" bestFit="1" customWidth="1"/>
    <col min="9" max="9" width="6.26953125" style="14" bestFit="1" customWidth="1"/>
    <col min="10" max="10" width="6.1796875" style="14" bestFit="1" customWidth="1"/>
    <col min="11" max="11" width="7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54296875" style="7" bestFit="1" customWidth="1"/>
    <col min="18" max="18" width="8.26953125" style="7" bestFit="1" customWidth="1"/>
    <col min="19" max="19" width="7.453125" style="7" bestFit="1" customWidth="1"/>
    <col min="20" max="20" width="7.54296875" style="7" bestFit="1" customWidth="1"/>
    <col min="21" max="21" width="8.54296875" style="7" bestFit="1" customWidth="1"/>
    <col min="22" max="22" width="7" style="7" bestFit="1" customWidth="1"/>
    <col min="23" max="25" width="5.453125" style="7" customWidth="1"/>
    <col min="26" max="26" width="5.453125" style="14" customWidth="1"/>
    <col min="27" max="27" width="7.453125" style="11" bestFit="1" customWidth="1"/>
    <col min="28" max="28" width="7.26953125" style="11" bestFit="1" customWidth="1"/>
    <col min="29" max="33" width="5.54296875" style="7" customWidth="1"/>
    <col min="34" max="34" width="6" style="7" customWidth="1"/>
    <col min="35" max="35" width="7" style="7" customWidth="1"/>
    <col min="36" max="36" width="7.453125" style="7" bestFit="1" customWidth="1"/>
    <col min="37" max="38" width="5.54296875" style="7" customWidth="1"/>
    <col min="39" max="39" width="7.26953125" style="7" bestFit="1" customWidth="1"/>
    <col min="40" max="40" width="5.54296875" style="7" customWidth="1"/>
    <col min="41" max="41" width="8.81640625" style="11" bestFit="1" customWidth="1"/>
    <col min="42" max="42" width="7.7265625" style="11" bestFit="1" customWidth="1"/>
    <col min="43" max="43" width="9.453125" style="7" bestFit="1" customWidth="1"/>
    <col min="44" max="16384" width="9.1796875" style="7"/>
  </cols>
  <sheetData>
    <row r="1" spans="1:44" ht="105.75" customHeight="1" thickBot="1">
      <c r="A1" s="72" t="s">
        <v>191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4" ht="12.75" customHeight="1">
      <c r="A2" s="82" t="s">
        <v>93</v>
      </c>
      <c r="B2" s="83"/>
      <c r="C2" s="84">
        <f>SUM(D2:G2)</f>
        <v>0</v>
      </c>
      <c r="D2" s="85">
        <v>0</v>
      </c>
      <c r="E2" s="86"/>
      <c r="F2" s="87"/>
      <c r="G2" s="87"/>
      <c r="H2" s="88">
        <f>SUM(I2:K2)</f>
        <v>390.56915758919979</v>
      </c>
      <c r="I2" s="89">
        <v>262.86515758919978</v>
      </c>
      <c r="J2" s="90">
        <v>127.70399999999999</v>
      </c>
      <c r="K2" s="91"/>
      <c r="L2" s="88">
        <f>SUM(M2:Z2)</f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2146.9500460596769</v>
      </c>
      <c r="AB2" s="94">
        <f>SUM(AC2:AM2)</f>
        <v>1477.9371877171973</v>
      </c>
      <c r="AC2" s="95">
        <v>76.246216633583984</v>
      </c>
      <c r="AD2" s="91">
        <v>861.67565739932616</v>
      </c>
      <c r="AE2" s="91">
        <v>237.25988166564673</v>
      </c>
      <c r="AF2" s="91">
        <v>136.78221700850077</v>
      </c>
      <c r="AG2" s="91">
        <v>31.767719935191728</v>
      </c>
      <c r="AH2" s="91">
        <v>18.859900908697988</v>
      </c>
      <c r="AI2" s="91">
        <v>41.440731979679995</v>
      </c>
      <c r="AJ2" s="91">
        <v>4.2536494817759998</v>
      </c>
      <c r="AK2" s="89">
        <v>3.3977103439653655</v>
      </c>
      <c r="AL2" s="89">
        <v>13.690577884670216</v>
      </c>
      <c r="AM2" s="87">
        <v>52.562924476158216</v>
      </c>
      <c r="AN2" s="96">
        <v>145.29115639080388</v>
      </c>
      <c r="AO2" s="96"/>
      <c r="AP2" s="94"/>
      <c r="AQ2" s="97">
        <f t="shared" ref="AQ2:AQ20" si="0">C2+H2+L2+AA2+AB2+AN2+AO2+AP2</f>
        <v>4160.7475477568778</v>
      </c>
    </row>
    <row r="3" spans="1:44" ht="12.75" customHeight="1">
      <c r="A3" s="98" t="s">
        <v>94</v>
      </c>
      <c r="B3" s="99"/>
      <c r="C3" s="100">
        <f>SUM(D3:G3)</f>
        <v>270.96498615909093</v>
      </c>
      <c r="D3" s="101">
        <v>201.85753541458044</v>
      </c>
      <c r="E3" s="102">
        <v>59.028864029971338</v>
      </c>
      <c r="F3" s="103"/>
      <c r="G3" s="103">
        <v>10.078586714539126</v>
      </c>
      <c r="H3" s="104">
        <f>SUM(I3:K3)</f>
        <v>0</v>
      </c>
      <c r="I3" s="105"/>
      <c r="J3" s="106"/>
      <c r="K3" s="107"/>
      <c r="L3" s="104">
        <f>SUM(M3:Z3)</f>
        <v>9050.4695838966491</v>
      </c>
      <c r="M3" s="105">
        <v>2653.5268465452</v>
      </c>
      <c r="N3" s="105">
        <v>157.3369951368</v>
      </c>
      <c r="O3" s="107">
        <v>0</v>
      </c>
      <c r="P3" s="107">
        <v>542.64897193333343</v>
      </c>
      <c r="Q3" s="107">
        <v>348.38683425727999</v>
      </c>
      <c r="R3" s="107">
        <v>1570.8211576005599</v>
      </c>
      <c r="S3" s="107">
        <v>111.941671459887</v>
      </c>
      <c r="T3" s="107">
        <v>156.63083509070498</v>
      </c>
      <c r="U3" s="107">
        <v>3092.3130134485209</v>
      </c>
      <c r="V3" s="107">
        <v>161.0308694997704</v>
      </c>
      <c r="W3" s="103">
        <v>0</v>
      </c>
      <c r="X3" s="103">
        <v>207.73661690779878</v>
      </c>
      <c r="Y3" s="103">
        <v>2.1978003534318131</v>
      </c>
      <c r="Z3" s="107">
        <v>45.897971663359961</v>
      </c>
      <c r="AA3" s="104">
        <v>2424.3477436077169</v>
      </c>
      <c r="AB3" s="108">
        <f>SUM(AC3:AM3)</f>
        <v>176.32474834684405</v>
      </c>
      <c r="AC3" s="109"/>
      <c r="AD3" s="107"/>
      <c r="AE3" s="107">
        <v>24.933073584380057</v>
      </c>
      <c r="AF3" s="107"/>
      <c r="AG3" s="107"/>
      <c r="AH3" s="107"/>
      <c r="AI3" s="107">
        <v>126.245745852672</v>
      </c>
      <c r="AJ3" s="107">
        <v>25.145928909791998</v>
      </c>
      <c r="AK3" s="105"/>
      <c r="AL3" s="105"/>
      <c r="AM3" s="103"/>
      <c r="AN3" s="110"/>
      <c r="AO3" s="110">
        <v>187.44378883999997</v>
      </c>
      <c r="AP3" s="108"/>
      <c r="AQ3" s="111">
        <f t="shared" si="0"/>
        <v>12109.550850850303</v>
      </c>
    </row>
    <row r="4" spans="1:44" ht="12.75" customHeight="1">
      <c r="A4" s="98" t="s">
        <v>95</v>
      </c>
      <c r="B4" s="99"/>
      <c r="C4" s="100">
        <f>SUM(D4:G4)</f>
        <v>8.1980002577136002</v>
      </c>
      <c r="D4" s="101">
        <v>0</v>
      </c>
      <c r="E4" s="112">
        <v>7.9590085080000001</v>
      </c>
      <c r="F4" s="103"/>
      <c r="G4" s="103">
        <v>0.23899174971359999</v>
      </c>
      <c r="H4" s="104">
        <f>SUM(I4:K4)</f>
        <v>5.8493720000000007</v>
      </c>
      <c r="I4" s="105"/>
      <c r="J4" s="106"/>
      <c r="K4" s="107">
        <v>5.8493720000000007</v>
      </c>
      <c r="L4" s="104">
        <f>SUM(M4:Z4)</f>
        <v>1567.5630290434847</v>
      </c>
      <c r="M4" s="105">
        <v>43.019193902199994</v>
      </c>
      <c r="N4" s="105">
        <v>7.8404003039999992</v>
      </c>
      <c r="O4" s="107"/>
      <c r="P4" s="107">
        <v>432.94982474444441</v>
      </c>
      <c r="Q4" s="107">
        <v>74.101066224640022</v>
      </c>
      <c r="R4" s="107">
        <v>63.608879690399995</v>
      </c>
      <c r="S4" s="107">
        <v>712.70293289209042</v>
      </c>
      <c r="T4" s="107">
        <v>23.602785146527417</v>
      </c>
      <c r="U4" s="107">
        <v>164.05672925173289</v>
      </c>
      <c r="V4" s="107">
        <v>2.9787871963443114E-2</v>
      </c>
      <c r="W4" s="103">
        <v>28.749403849447511</v>
      </c>
      <c r="X4" s="103">
        <v>9.4628384376000003</v>
      </c>
      <c r="Y4" s="103">
        <v>1.9112571484317421E-2</v>
      </c>
      <c r="Z4" s="107">
        <v>7.4200741569540316</v>
      </c>
      <c r="AA4" s="104">
        <v>0</v>
      </c>
      <c r="AB4" s="108">
        <f>SUM(AC4:AM4)</f>
        <v>6.7010671151039993</v>
      </c>
      <c r="AC4" s="109"/>
      <c r="AD4" s="107"/>
      <c r="AE4" s="107">
        <v>0</v>
      </c>
      <c r="AF4" s="107"/>
      <c r="AG4" s="107"/>
      <c r="AH4" s="107"/>
      <c r="AI4" s="107">
        <v>6.7010671151039993</v>
      </c>
      <c r="AJ4" s="107">
        <v>0</v>
      </c>
      <c r="AK4" s="105"/>
      <c r="AL4" s="105"/>
      <c r="AM4" s="103"/>
      <c r="AN4" s="110"/>
      <c r="AO4" s="110">
        <v>132.01331443999996</v>
      </c>
      <c r="AP4" s="108"/>
      <c r="AQ4" s="111">
        <f t="shared" si="0"/>
        <v>1720.3247828563021</v>
      </c>
    </row>
    <row r="5" spans="1:44" ht="12.75" customHeight="1">
      <c r="A5" s="98" t="s">
        <v>96</v>
      </c>
      <c r="B5" s="99"/>
      <c r="C5" s="100">
        <f>SUM(D5:G5)</f>
        <v>0</v>
      </c>
      <c r="D5" s="101"/>
      <c r="E5" s="112"/>
      <c r="F5" s="103"/>
      <c r="G5" s="103"/>
      <c r="H5" s="104">
        <f>SUM(I5:K5)</f>
        <v>0</v>
      </c>
      <c r="I5" s="105"/>
      <c r="J5" s="106"/>
      <c r="K5" s="107"/>
      <c r="L5" s="104">
        <f>SUM(M5:Z5)</f>
        <v>142.2025213725301</v>
      </c>
      <c r="M5" s="105"/>
      <c r="N5" s="105"/>
      <c r="O5" s="107"/>
      <c r="P5" s="107"/>
      <c r="Q5" s="107"/>
      <c r="R5" s="107"/>
      <c r="S5" s="107">
        <v>10.240727745480227</v>
      </c>
      <c r="T5" s="107"/>
      <c r="U5" s="107">
        <v>131.96179362704987</v>
      </c>
      <c r="V5" s="107"/>
      <c r="W5" s="103"/>
      <c r="X5" s="103"/>
      <c r="Y5" s="103"/>
      <c r="Z5" s="107"/>
      <c r="AA5" s="104"/>
      <c r="AB5" s="108">
        <f>SUM(AC5:AM5)</f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f t="shared" si="0"/>
        <v>142.2025213725301</v>
      </c>
    </row>
    <row r="6" spans="1:44" ht="12.75" customHeight="1" thickBot="1">
      <c r="A6" s="113" t="s">
        <v>97</v>
      </c>
      <c r="B6" s="114"/>
      <c r="C6" s="100">
        <f>SUM(D6:G6)</f>
        <v>124.36366286038916</v>
      </c>
      <c r="D6" s="115">
        <v>123.51081447568097</v>
      </c>
      <c r="E6" s="103">
        <v>1.0966176076410648</v>
      </c>
      <c r="F6" s="116"/>
      <c r="G6" s="116">
        <v>-0.24376922293288805</v>
      </c>
      <c r="H6" s="117">
        <f>SUM(I6:K6)</f>
        <v>244.39862473091318</v>
      </c>
      <c r="I6" s="118">
        <v>237.15180923091319</v>
      </c>
      <c r="J6" s="119">
        <v>0</v>
      </c>
      <c r="K6" s="118">
        <v>7.2468155000000012</v>
      </c>
      <c r="L6" s="117">
        <f>SUM(M6:Z6)</f>
        <v>92.875510950167509</v>
      </c>
      <c r="M6" s="105">
        <v>-22.361378267999989</v>
      </c>
      <c r="N6" s="105">
        <v>6.6791466600000033</v>
      </c>
      <c r="O6" s="107"/>
      <c r="P6" s="107">
        <v>135.33215412222225</v>
      </c>
      <c r="Q6" s="107">
        <v>17.029071783360003</v>
      </c>
      <c r="R6" s="107">
        <v>-80.382526302000002</v>
      </c>
      <c r="S6" s="107">
        <v>-0.94198822231638402</v>
      </c>
      <c r="T6" s="107">
        <v>3.4576857142558772</v>
      </c>
      <c r="U6" s="107">
        <v>39.480528890617038</v>
      </c>
      <c r="V6" s="107">
        <v>-2.7286637325293071</v>
      </c>
      <c r="W6" s="116">
        <v>-2.6885196954419883</v>
      </c>
      <c r="X6" s="116">
        <v>0</v>
      </c>
      <c r="Y6" s="116">
        <v>0</v>
      </c>
      <c r="Z6" s="118">
        <v>0</v>
      </c>
      <c r="AA6" s="117">
        <v>0</v>
      </c>
      <c r="AB6" s="120">
        <f>SUM(AC6:AM6)</f>
        <v>-1.6037529169956004</v>
      </c>
      <c r="AC6" s="121"/>
      <c r="AD6" s="122"/>
      <c r="AE6" s="122">
        <v>0.37002461255639962</v>
      </c>
      <c r="AF6" s="122"/>
      <c r="AG6" s="122"/>
      <c r="AH6" s="122"/>
      <c r="AI6" s="122">
        <v>0.51398723596799967</v>
      </c>
      <c r="AJ6" s="122">
        <v>-2.4877647655199997</v>
      </c>
      <c r="AK6" s="118"/>
      <c r="AL6" s="118"/>
      <c r="AM6" s="116"/>
      <c r="AN6" s="123"/>
      <c r="AO6" s="123"/>
      <c r="AP6" s="120"/>
      <c r="AQ6" s="124">
        <f t="shared" si="0"/>
        <v>460.03404562447423</v>
      </c>
    </row>
    <row r="7" spans="1:44" s="11" customFormat="1" ht="12.75" customHeight="1">
      <c r="A7" s="125" t="s">
        <v>98</v>
      </c>
      <c r="B7" s="126"/>
      <c r="C7" s="127">
        <f t="shared" ref="C7:AP7" si="1">C2+C3-C4-C5+C6</f>
        <v>387.13064876176645</v>
      </c>
      <c r="D7" s="128">
        <f t="shared" si="1"/>
        <v>325.36834989026141</v>
      </c>
      <c r="E7" s="129">
        <f t="shared" si="1"/>
        <v>52.166473129612399</v>
      </c>
      <c r="F7" s="129">
        <f t="shared" si="1"/>
        <v>0</v>
      </c>
      <c r="G7" s="129">
        <f t="shared" si="1"/>
        <v>9.5958257418926376</v>
      </c>
      <c r="H7" s="130">
        <f t="shared" si="1"/>
        <v>629.11841032011296</v>
      </c>
      <c r="I7" s="128">
        <f t="shared" si="1"/>
        <v>500.016966820113</v>
      </c>
      <c r="J7" s="131">
        <f t="shared" si="1"/>
        <v>127.70399999999999</v>
      </c>
      <c r="K7" s="129">
        <f t="shared" si="1"/>
        <v>1.3974435000000005</v>
      </c>
      <c r="L7" s="130">
        <f t="shared" si="1"/>
        <v>7433.5795444308014</v>
      </c>
      <c r="M7" s="128">
        <f t="shared" si="1"/>
        <v>2588.1462743749998</v>
      </c>
      <c r="N7" s="128">
        <f t="shared" si="1"/>
        <v>156.1757414928</v>
      </c>
      <c r="O7" s="129">
        <f t="shared" si="1"/>
        <v>0</v>
      </c>
      <c r="P7" s="129">
        <f t="shared" si="1"/>
        <v>245.03130131111126</v>
      </c>
      <c r="Q7" s="129">
        <f t="shared" si="1"/>
        <v>291.31483981599996</v>
      </c>
      <c r="R7" s="129">
        <f t="shared" si="1"/>
        <v>1426.8297516081598</v>
      </c>
      <c r="S7" s="129">
        <f t="shared" si="1"/>
        <v>-611.94397739999988</v>
      </c>
      <c r="T7" s="129">
        <f t="shared" si="1"/>
        <v>136.48573565843344</v>
      </c>
      <c r="U7" s="129">
        <f t="shared" si="1"/>
        <v>2835.775019460355</v>
      </c>
      <c r="V7" s="129">
        <f t="shared" si="1"/>
        <v>158.27241789527767</v>
      </c>
      <c r="W7" s="129">
        <f t="shared" si="1"/>
        <v>-31.4379235448895</v>
      </c>
      <c r="X7" s="129">
        <f t="shared" si="1"/>
        <v>198.27377847019878</v>
      </c>
      <c r="Y7" s="129">
        <f t="shared" si="1"/>
        <v>2.1786877819474957</v>
      </c>
      <c r="Z7" s="129">
        <f t="shared" si="1"/>
        <v>38.477897506405931</v>
      </c>
      <c r="AA7" s="130">
        <f t="shared" si="1"/>
        <v>4571.2977896673938</v>
      </c>
      <c r="AB7" s="130">
        <f t="shared" si="1"/>
        <v>1645.9571160319417</v>
      </c>
      <c r="AC7" s="128">
        <f t="shared" si="1"/>
        <v>76.246216633583984</v>
      </c>
      <c r="AD7" s="129">
        <f t="shared" si="1"/>
        <v>861.67565739932616</v>
      </c>
      <c r="AE7" s="129">
        <f t="shared" si="1"/>
        <v>262.56297986258318</v>
      </c>
      <c r="AF7" s="129">
        <f t="shared" si="1"/>
        <v>136.78221700850077</v>
      </c>
      <c r="AG7" s="129">
        <f t="shared" si="1"/>
        <v>31.767719935191728</v>
      </c>
      <c r="AH7" s="129">
        <f t="shared" si="1"/>
        <v>18.859900908697988</v>
      </c>
      <c r="AI7" s="129">
        <f t="shared" si="1"/>
        <v>161.499397953216</v>
      </c>
      <c r="AJ7" s="129">
        <f t="shared" si="1"/>
        <v>26.911813626048001</v>
      </c>
      <c r="AK7" s="132">
        <f t="shared" si="1"/>
        <v>3.3977103439653655</v>
      </c>
      <c r="AL7" s="132">
        <f t="shared" si="1"/>
        <v>13.690577884670216</v>
      </c>
      <c r="AM7" s="128">
        <f t="shared" si="1"/>
        <v>52.562924476158216</v>
      </c>
      <c r="AN7" s="130">
        <f t="shared" si="1"/>
        <v>145.29115639080388</v>
      </c>
      <c r="AO7" s="130">
        <f t="shared" si="1"/>
        <v>55.430474400000008</v>
      </c>
      <c r="AP7" s="133">
        <f t="shared" si="1"/>
        <v>0</v>
      </c>
      <c r="AQ7" s="134">
        <f t="shared" si="0"/>
        <v>14867.80514000282</v>
      </c>
      <c r="AR7" s="7"/>
    </row>
    <row r="8" spans="1:44" s="11" customFormat="1" ht="12.75" customHeight="1" thickBot="1">
      <c r="A8" s="135" t="s">
        <v>99</v>
      </c>
      <c r="B8" s="136"/>
      <c r="C8" s="137">
        <f t="shared" ref="C8:AP8" si="2">C7-C27</f>
        <v>387.13064876176645</v>
      </c>
      <c r="D8" s="138">
        <f t="shared" si="2"/>
        <v>325.36834989026141</v>
      </c>
      <c r="E8" s="139">
        <f t="shared" si="2"/>
        <v>52.166473129612399</v>
      </c>
      <c r="F8" s="140">
        <f t="shared" si="2"/>
        <v>0</v>
      </c>
      <c r="G8" s="140">
        <f t="shared" si="2"/>
        <v>9.5958257418926376</v>
      </c>
      <c r="H8" s="141">
        <f t="shared" si="2"/>
        <v>629.11841032011296</v>
      </c>
      <c r="I8" s="138">
        <f t="shared" si="2"/>
        <v>500.016966820113</v>
      </c>
      <c r="J8" s="142">
        <f t="shared" si="2"/>
        <v>127.70399999999999</v>
      </c>
      <c r="K8" s="139">
        <f t="shared" si="2"/>
        <v>1.3974435000000005</v>
      </c>
      <c r="L8" s="141">
        <f t="shared" si="2"/>
        <v>7194.6491806722488</v>
      </c>
      <c r="M8" s="138">
        <f t="shared" si="2"/>
        <v>2588.1462743749998</v>
      </c>
      <c r="N8" s="138">
        <f t="shared" si="2"/>
        <v>156.1757414928</v>
      </c>
      <c r="O8" s="139">
        <f t="shared" si="2"/>
        <v>0</v>
      </c>
      <c r="P8" s="139">
        <f t="shared" si="2"/>
        <v>245.03130131111126</v>
      </c>
      <c r="Q8" s="139">
        <f t="shared" si="2"/>
        <v>291.31483981599996</v>
      </c>
      <c r="R8" s="139">
        <f t="shared" si="2"/>
        <v>1426.8297516081598</v>
      </c>
      <c r="S8" s="139">
        <f t="shared" si="2"/>
        <v>-611.94397739999988</v>
      </c>
      <c r="T8" s="139">
        <f t="shared" si="2"/>
        <v>136.48573565843344</v>
      </c>
      <c r="U8" s="139">
        <f t="shared" si="2"/>
        <v>2835.775019460355</v>
      </c>
      <c r="V8" s="139">
        <f t="shared" si="2"/>
        <v>158.27241789527767</v>
      </c>
      <c r="W8" s="140">
        <f t="shared" si="2"/>
        <v>-31.4379235448895</v>
      </c>
      <c r="X8" s="140">
        <f t="shared" si="2"/>
        <v>0</v>
      </c>
      <c r="Y8" s="140">
        <f t="shared" si="2"/>
        <v>0</v>
      </c>
      <c r="Z8" s="139">
        <f t="shared" si="2"/>
        <v>0</v>
      </c>
      <c r="AA8" s="141">
        <f t="shared" si="2"/>
        <v>4571.2977896673938</v>
      </c>
      <c r="AB8" s="143">
        <f t="shared" si="2"/>
        <v>1645.9571160319417</v>
      </c>
      <c r="AC8" s="138">
        <f t="shared" si="2"/>
        <v>76.246216633583984</v>
      </c>
      <c r="AD8" s="139">
        <f t="shared" si="2"/>
        <v>861.67565739932616</v>
      </c>
      <c r="AE8" s="139">
        <f t="shared" si="2"/>
        <v>262.56297986258318</v>
      </c>
      <c r="AF8" s="139">
        <f t="shared" si="2"/>
        <v>136.78221700850077</v>
      </c>
      <c r="AG8" s="139">
        <f t="shared" si="2"/>
        <v>31.767719935191728</v>
      </c>
      <c r="AH8" s="139">
        <f t="shared" si="2"/>
        <v>18.859900908697988</v>
      </c>
      <c r="AI8" s="139">
        <f t="shared" si="2"/>
        <v>161.499397953216</v>
      </c>
      <c r="AJ8" s="139">
        <f t="shared" si="2"/>
        <v>26.911813626048001</v>
      </c>
      <c r="AK8" s="144">
        <f t="shared" si="2"/>
        <v>3.3977103439653655</v>
      </c>
      <c r="AL8" s="144">
        <f t="shared" si="2"/>
        <v>13.690577884670216</v>
      </c>
      <c r="AM8" s="138">
        <f t="shared" si="2"/>
        <v>52.562924476158216</v>
      </c>
      <c r="AN8" s="141">
        <f t="shared" si="2"/>
        <v>145.29115639080388</v>
      </c>
      <c r="AO8" s="141">
        <f t="shared" si="2"/>
        <v>55.430474400000008</v>
      </c>
      <c r="AP8" s="138">
        <f t="shared" si="2"/>
        <v>0</v>
      </c>
      <c r="AQ8" s="145">
        <f t="shared" si="0"/>
        <v>14628.874776244265</v>
      </c>
      <c r="AR8" s="7"/>
    </row>
    <row r="9" spans="1:44" s="11" customFormat="1" ht="12.75" customHeight="1">
      <c r="A9" s="125" t="s">
        <v>100</v>
      </c>
      <c r="B9" s="126"/>
      <c r="C9" s="127">
        <f t="shared" ref="C9:AP9" si="3">SUM(C10:C14)</f>
        <v>147.86636165032934</v>
      </c>
      <c r="D9" s="132">
        <f t="shared" si="3"/>
        <v>147.86636165032934</v>
      </c>
      <c r="E9" s="129">
        <f t="shared" si="3"/>
        <v>0</v>
      </c>
      <c r="F9" s="146">
        <f t="shared" si="3"/>
        <v>0</v>
      </c>
      <c r="G9" s="146">
        <f t="shared" si="3"/>
        <v>0</v>
      </c>
      <c r="H9" s="130">
        <f t="shared" si="3"/>
        <v>491.61136902488784</v>
      </c>
      <c r="I9" s="132">
        <f t="shared" si="3"/>
        <v>491.61136902488784</v>
      </c>
      <c r="J9" s="131">
        <f t="shared" si="3"/>
        <v>0</v>
      </c>
      <c r="K9" s="129">
        <f t="shared" si="3"/>
        <v>0</v>
      </c>
      <c r="L9" s="130">
        <f t="shared" si="3"/>
        <v>2912.1684165083248</v>
      </c>
      <c r="M9" s="129">
        <f t="shared" si="3"/>
        <v>2588.1462743749998</v>
      </c>
      <c r="N9" s="129">
        <f t="shared" ref="N9" si="4">SUM(N10:N14)</f>
        <v>245.56060120055281</v>
      </c>
      <c r="O9" s="129">
        <f t="shared" si="3"/>
        <v>0</v>
      </c>
      <c r="P9" s="129">
        <f t="shared" si="3"/>
        <v>0</v>
      </c>
      <c r="Q9" s="129">
        <f t="shared" si="3"/>
        <v>0</v>
      </c>
      <c r="R9" s="129">
        <f t="shared" si="3"/>
        <v>0</v>
      </c>
      <c r="S9" s="129">
        <f t="shared" si="3"/>
        <v>65.449797530529409</v>
      </c>
      <c r="T9" s="129">
        <f t="shared" si="3"/>
        <v>0.63852264334079989</v>
      </c>
      <c r="U9" s="129">
        <f t="shared" si="3"/>
        <v>12.373220758902022</v>
      </c>
      <c r="V9" s="129">
        <f t="shared" si="3"/>
        <v>0</v>
      </c>
      <c r="W9" s="146">
        <f t="shared" si="3"/>
        <v>0</v>
      </c>
      <c r="X9" s="146">
        <f t="shared" si="3"/>
        <v>0</v>
      </c>
      <c r="Y9" s="146">
        <f t="shared" si="3"/>
        <v>0</v>
      </c>
      <c r="Z9" s="129">
        <f t="shared" si="3"/>
        <v>0</v>
      </c>
      <c r="AA9" s="130">
        <f t="shared" si="3"/>
        <v>2564.9636356398232</v>
      </c>
      <c r="AB9" s="128">
        <f t="shared" si="3"/>
        <v>213.79595970423682</v>
      </c>
      <c r="AC9" s="147">
        <f t="shared" si="3"/>
        <v>0</v>
      </c>
      <c r="AD9" s="129">
        <f t="shared" si="3"/>
        <v>0</v>
      </c>
      <c r="AE9" s="129">
        <f t="shared" si="3"/>
        <v>76.966325921459557</v>
      </c>
      <c r="AF9" s="129">
        <f t="shared" ref="AF9" si="5">SUM(AF10:AF14)</f>
        <v>96.387111983952977</v>
      </c>
      <c r="AG9" s="129">
        <f t="shared" si="3"/>
        <v>31.767719935191728</v>
      </c>
      <c r="AH9" s="129">
        <f t="shared" si="3"/>
        <v>8.6748018636325526</v>
      </c>
      <c r="AI9" s="129">
        <f t="shared" si="3"/>
        <v>0</v>
      </c>
      <c r="AJ9" s="129">
        <f t="shared" ref="AJ9" si="6">SUM(AJ10:AJ14)</f>
        <v>0</v>
      </c>
      <c r="AK9" s="132">
        <f t="shared" si="3"/>
        <v>0</v>
      </c>
      <c r="AL9" s="132">
        <f t="shared" ref="AL9" si="7">SUM(AL10:AL14)</f>
        <v>0</v>
      </c>
      <c r="AM9" s="146">
        <f t="shared" si="3"/>
        <v>0</v>
      </c>
      <c r="AN9" s="130">
        <f t="shared" si="3"/>
        <v>88.629444098446996</v>
      </c>
      <c r="AO9" s="130">
        <f t="shared" si="3"/>
        <v>52.839245379999994</v>
      </c>
      <c r="AP9" s="128">
        <f t="shared" si="3"/>
        <v>0</v>
      </c>
      <c r="AQ9" s="148">
        <f t="shared" si="0"/>
        <v>6471.8744320060487</v>
      </c>
      <c r="AR9" s="7"/>
    </row>
    <row r="10" spans="1:44" ht="12.75" customHeight="1">
      <c r="A10" s="149" t="s">
        <v>422</v>
      </c>
      <c r="B10" s="150"/>
      <c r="C10" s="151">
        <f>SUM(D10:G10)</f>
        <v>147.86636165032934</v>
      </c>
      <c r="D10" s="152">
        <v>147.86636165032934</v>
      </c>
      <c r="E10" s="153"/>
      <c r="F10" s="154"/>
      <c r="G10" s="154"/>
      <c r="H10" s="155">
        <f>SUM(I10:K10)</f>
        <v>429.59646406852596</v>
      </c>
      <c r="I10" s="152">
        <v>429.59646406852596</v>
      </c>
      <c r="J10" s="156">
        <v>0</v>
      </c>
      <c r="K10" s="153"/>
      <c r="L10" s="155">
        <f>SUM(M10:Z10)</f>
        <v>77.823018289431431</v>
      </c>
      <c r="M10" s="153"/>
      <c r="N10" s="153"/>
      <c r="O10" s="153"/>
      <c r="P10" s="153"/>
      <c r="Q10" s="153"/>
      <c r="R10" s="153"/>
      <c r="S10" s="153">
        <v>65.449797530529409</v>
      </c>
      <c r="T10" s="153"/>
      <c r="U10" s="153">
        <v>12.373220758902022</v>
      </c>
      <c r="V10" s="153"/>
      <c r="W10" s="154"/>
      <c r="X10" s="154"/>
      <c r="Y10" s="154"/>
      <c r="Z10" s="153"/>
      <c r="AA10" s="155">
        <v>2262.4883571560613</v>
      </c>
      <c r="AB10" s="157">
        <f>SUM(AC10:AM10)</f>
        <v>202.07086582688999</v>
      </c>
      <c r="AC10" s="158"/>
      <c r="AD10" s="153"/>
      <c r="AE10" s="153">
        <v>73.916033907745273</v>
      </c>
      <c r="AF10" s="153">
        <v>96.387111983952977</v>
      </c>
      <c r="AG10" s="153">
        <v>31.767719935191728</v>
      </c>
      <c r="AH10" s="153"/>
      <c r="AI10" s="153"/>
      <c r="AJ10" s="153"/>
      <c r="AK10" s="152"/>
      <c r="AL10" s="152"/>
      <c r="AM10" s="154"/>
      <c r="AN10" s="159">
        <v>88.629444098446996</v>
      </c>
      <c r="AO10" s="155"/>
      <c r="AP10" s="157"/>
      <c r="AQ10" s="160">
        <f t="shared" si="0"/>
        <v>3208.4745110896852</v>
      </c>
    </row>
    <row r="11" spans="1:44" ht="12.75" customHeight="1">
      <c r="A11" s="98" t="s">
        <v>423</v>
      </c>
      <c r="B11" s="99"/>
      <c r="C11" s="100">
        <f>SUM(D11:G11)</f>
        <v>0</v>
      </c>
      <c r="D11" s="105">
        <v>0</v>
      </c>
      <c r="E11" s="107"/>
      <c r="F11" s="103"/>
      <c r="G11" s="103"/>
      <c r="H11" s="104">
        <f>SUM(I11:K11)</f>
        <v>4.7597803142566182</v>
      </c>
      <c r="I11" s="105">
        <v>4.7597803142566182</v>
      </c>
      <c r="J11" s="106"/>
      <c r="K11" s="107"/>
      <c r="L11" s="104">
        <f>SUM(M11:Z11)</f>
        <v>0.63852264334079989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0.63852264334079989</v>
      </c>
      <c r="U11" s="107">
        <v>0</v>
      </c>
      <c r="V11" s="107"/>
      <c r="W11" s="103"/>
      <c r="X11" s="103"/>
      <c r="Y11" s="103"/>
      <c r="Z11" s="107"/>
      <c r="AA11" s="104">
        <v>258.65724020816185</v>
      </c>
      <c r="AB11" s="108">
        <f>SUM(AC11:AM11)</f>
        <v>11.725093877346838</v>
      </c>
      <c r="AC11" s="109"/>
      <c r="AD11" s="107"/>
      <c r="AE11" s="107">
        <v>3.0502920137142859</v>
      </c>
      <c r="AF11" s="107"/>
      <c r="AG11" s="107"/>
      <c r="AH11" s="107">
        <v>8.6748018636325526</v>
      </c>
      <c r="AI11" s="107"/>
      <c r="AJ11" s="107"/>
      <c r="AK11" s="105"/>
      <c r="AL11" s="105"/>
      <c r="AM11" s="103"/>
      <c r="AN11" s="110"/>
      <c r="AO11" s="110"/>
      <c r="AP11" s="108"/>
      <c r="AQ11" s="111">
        <f t="shared" si="0"/>
        <v>275.78063704310614</v>
      </c>
    </row>
    <row r="12" spans="1:44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41.13516138</v>
      </c>
      <c r="AP12" s="108"/>
      <c r="AQ12" s="111">
        <f t="shared" si="0"/>
        <v>41.13516138</v>
      </c>
    </row>
    <row r="13" spans="1:44" ht="12.75" customHeight="1">
      <c r="A13" s="98" t="s">
        <v>425</v>
      </c>
      <c r="B13" s="99"/>
      <c r="C13" s="100">
        <f>SUM(D13:G13)</f>
        <v>0</v>
      </c>
      <c r="D13" s="105"/>
      <c r="E13" s="103"/>
      <c r="F13" s="103"/>
      <c r="G13" s="103"/>
      <c r="H13" s="104">
        <f>SUM(I13:K13)</f>
        <v>57.255124642105272</v>
      </c>
      <c r="I13" s="105">
        <v>57.255124642105272</v>
      </c>
      <c r="J13" s="106"/>
      <c r="K13" s="107"/>
      <c r="L13" s="104">
        <f>SUM(M13:Z13)</f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f>SUM(AC13:AM13)</f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f t="shared" si="0"/>
        <v>57.255124642105272</v>
      </c>
    </row>
    <row r="14" spans="1:44" ht="12.75" customHeight="1">
      <c r="A14" s="162" t="s">
        <v>426</v>
      </c>
      <c r="B14" s="163"/>
      <c r="C14" s="164">
        <f>SUM(D14:G14)</f>
        <v>0</v>
      </c>
      <c r="D14" s="165"/>
      <c r="E14" s="166"/>
      <c r="F14" s="167"/>
      <c r="G14" s="167"/>
      <c r="H14" s="168">
        <f>SUM(I14:K14)</f>
        <v>0</v>
      </c>
      <c r="I14" s="165"/>
      <c r="J14" s="169"/>
      <c r="K14" s="166"/>
      <c r="L14" s="168">
        <f>SUM(M14:Z14)</f>
        <v>2833.7068755755527</v>
      </c>
      <c r="M14" s="166">
        <v>2588.1462743749998</v>
      </c>
      <c r="N14" s="166">
        <v>245.56060120055281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43.818038275599775</v>
      </c>
      <c r="AB14" s="170">
        <f>SUM(AC14:AM14)</f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11.704083999999998</v>
      </c>
      <c r="AP14" s="170"/>
      <c r="AQ14" s="173">
        <f t="shared" si="0"/>
        <v>2889.2289978511526</v>
      </c>
    </row>
    <row r="15" spans="1:44" s="11" customFormat="1" ht="12.75" customHeight="1">
      <c r="A15" s="174" t="s">
        <v>101</v>
      </c>
      <c r="B15" s="175"/>
      <c r="C15" s="176">
        <f t="shared" ref="C15:AP15" si="8">SUM(C16:C20)</f>
        <v>0</v>
      </c>
      <c r="D15" s="177">
        <f t="shared" si="8"/>
        <v>0</v>
      </c>
      <c r="E15" s="178">
        <f t="shared" si="8"/>
        <v>0</v>
      </c>
      <c r="F15" s="179">
        <f t="shared" si="8"/>
        <v>0</v>
      </c>
      <c r="G15" s="179">
        <f t="shared" si="8"/>
        <v>0</v>
      </c>
      <c r="H15" s="180">
        <f t="shared" si="8"/>
        <v>54.392368410000003</v>
      </c>
      <c r="I15" s="177">
        <f t="shared" si="8"/>
        <v>0</v>
      </c>
      <c r="J15" s="181">
        <f t="shared" si="8"/>
        <v>0</v>
      </c>
      <c r="K15" s="178">
        <f t="shared" si="8"/>
        <v>54.392368410000003</v>
      </c>
      <c r="L15" s="180">
        <f t="shared" si="8"/>
        <v>2857.1589555141918</v>
      </c>
      <c r="M15" s="178">
        <f t="shared" si="8"/>
        <v>0</v>
      </c>
      <c r="N15" s="178">
        <f t="shared" si="8"/>
        <v>0</v>
      </c>
      <c r="O15" s="178">
        <f t="shared" si="8"/>
        <v>75.391323197283143</v>
      </c>
      <c r="P15" s="178">
        <f t="shared" si="8"/>
        <v>552.13663251111109</v>
      </c>
      <c r="Q15" s="178">
        <f t="shared" si="8"/>
        <v>323.67830540864009</v>
      </c>
      <c r="R15" s="178">
        <f t="shared" si="8"/>
        <v>0</v>
      </c>
      <c r="S15" s="178">
        <f t="shared" si="8"/>
        <v>713.77717964435033</v>
      </c>
      <c r="T15" s="178">
        <f t="shared" si="8"/>
        <v>50.547599406892957</v>
      </c>
      <c r="U15" s="178">
        <f t="shared" si="8"/>
        <v>1097.9678707029586</v>
      </c>
      <c r="V15" s="178">
        <f t="shared" si="8"/>
        <v>0</v>
      </c>
      <c r="W15" s="179">
        <f t="shared" si="8"/>
        <v>43.660044642955796</v>
      </c>
      <c r="X15" s="179">
        <f t="shared" si="8"/>
        <v>0</v>
      </c>
      <c r="Y15" s="179">
        <f t="shared" si="8"/>
        <v>0</v>
      </c>
      <c r="Z15" s="178">
        <f t="shared" si="8"/>
        <v>0</v>
      </c>
      <c r="AA15" s="180">
        <f t="shared" si="8"/>
        <v>0</v>
      </c>
      <c r="AB15" s="182">
        <f t="shared" si="8"/>
        <v>0</v>
      </c>
      <c r="AC15" s="183">
        <f t="shared" si="8"/>
        <v>0</v>
      </c>
      <c r="AD15" s="178">
        <f t="shared" si="8"/>
        <v>0</v>
      </c>
      <c r="AE15" s="178">
        <f t="shared" si="8"/>
        <v>0</v>
      </c>
      <c r="AF15" s="178">
        <f t="shared" si="8"/>
        <v>0</v>
      </c>
      <c r="AG15" s="184">
        <f t="shared" si="8"/>
        <v>0</v>
      </c>
      <c r="AH15" s="184">
        <f t="shared" si="8"/>
        <v>0</v>
      </c>
      <c r="AI15" s="184">
        <f t="shared" si="8"/>
        <v>0</v>
      </c>
      <c r="AJ15" s="184">
        <f t="shared" si="8"/>
        <v>0</v>
      </c>
      <c r="AK15" s="177">
        <f t="shared" si="8"/>
        <v>0</v>
      </c>
      <c r="AL15" s="177">
        <f t="shared" si="8"/>
        <v>0</v>
      </c>
      <c r="AM15" s="179">
        <f t="shared" si="8"/>
        <v>0</v>
      </c>
      <c r="AN15" s="180">
        <f t="shared" si="8"/>
        <v>0</v>
      </c>
      <c r="AO15" s="180">
        <f t="shared" si="8"/>
        <v>1721.3427016134256</v>
      </c>
      <c r="AP15" s="182">
        <f t="shared" si="8"/>
        <v>0</v>
      </c>
      <c r="AQ15" s="185">
        <f t="shared" si="0"/>
        <v>4632.8940255376174</v>
      </c>
      <c r="AR15" s="7"/>
    </row>
    <row r="16" spans="1:44" ht="12.75" customHeight="1">
      <c r="A16" s="149" t="s">
        <v>427</v>
      </c>
      <c r="B16" s="150"/>
      <c r="C16" s="151">
        <f>SUM(D16:G16)</f>
        <v>0</v>
      </c>
      <c r="D16" s="152"/>
      <c r="E16" s="153"/>
      <c r="F16" s="154"/>
      <c r="G16" s="154"/>
      <c r="H16" s="155">
        <f>SUM(I16:K16)</f>
        <v>0</v>
      </c>
      <c r="I16" s="152"/>
      <c r="J16" s="153"/>
      <c r="K16" s="153"/>
      <c r="L16" s="155">
        <f>SUM(M16:Z16)</f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f>SUM(AC16:AL16)</f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1521.0540778021184</v>
      </c>
      <c r="AP16" s="157"/>
      <c r="AQ16" s="186">
        <f>C16+H16+L16+AA16+AO16+AP16</f>
        <v>1521.0540778021184</v>
      </c>
    </row>
    <row r="17" spans="1:44" ht="12.75" customHeight="1">
      <c r="A17" s="98" t="s">
        <v>428</v>
      </c>
      <c r="B17" s="99"/>
      <c r="C17" s="100">
        <f>SUM(D17:G17)</f>
        <v>0</v>
      </c>
      <c r="D17" s="105"/>
      <c r="E17" s="107"/>
      <c r="F17" s="103"/>
      <c r="G17" s="103"/>
      <c r="H17" s="104">
        <f>SUM(I17:K17)</f>
        <v>0</v>
      </c>
      <c r="I17" s="105"/>
      <c r="J17" s="107"/>
      <c r="K17" s="107"/>
      <c r="L17" s="104">
        <f>SUM(M17:Z17)</f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f>SUM(AC17:AL17)</f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179.19120974129132</v>
      </c>
      <c r="AP17" s="108"/>
      <c r="AQ17" s="111">
        <f>C17+H17+L17+AA17+AO17+AP17</f>
        <v>179.19120974129132</v>
      </c>
    </row>
    <row r="18" spans="1:44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21.097414070016001</v>
      </c>
      <c r="AP18" s="108"/>
      <c r="AQ18" s="111">
        <f t="shared" si="0"/>
        <v>21.097414070016001</v>
      </c>
    </row>
    <row r="19" spans="1:44" ht="12.75" customHeight="1">
      <c r="A19" s="98" t="s">
        <v>430</v>
      </c>
      <c r="B19" s="99"/>
      <c r="C19" s="100"/>
      <c r="D19" s="7"/>
      <c r="E19" s="107"/>
      <c r="F19" s="103"/>
      <c r="G19" s="103"/>
      <c r="H19" s="104">
        <f>SUM(I19:K19)</f>
        <v>54.392368410000003</v>
      </c>
      <c r="I19" s="105"/>
      <c r="J19" s="107"/>
      <c r="K19" s="107">
        <v>54.392368410000003</v>
      </c>
      <c r="L19" s="104">
        <f>SUM(M19:Z19)</f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f>SUM(AC19:AL19)</f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f t="shared" si="0"/>
        <v>54.392368410000003</v>
      </c>
    </row>
    <row r="20" spans="1:44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f>SUM(I20:K20)</f>
        <v>0</v>
      </c>
      <c r="I20" s="165"/>
      <c r="J20" s="166"/>
      <c r="K20" s="166"/>
      <c r="L20" s="168">
        <f>SUM(M20:Z20)</f>
        <v>2857.1589555141918</v>
      </c>
      <c r="M20" s="166"/>
      <c r="N20" s="166"/>
      <c r="O20" s="166">
        <v>75.391323197283143</v>
      </c>
      <c r="P20" s="166">
        <v>552.13663251111109</v>
      </c>
      <c r="Q20" s="166">
        <v>323.67830540864009</v>
      </c>
      <c r="R20" s="166">
        <v>0</v>
      </c>
      <c r="S20" s="166">
        <v>713.77717964435033</v>
      </c>
      <c r="T20" s="166">
        <v>50.547599406892957</v>
      </c>
      <c r="U20" s="166">
        <v>1097.9678707029586</v>
      </c>
      <c r="V20" s="166"/>
      <c r="W20" s="167">
        <v>43.660044642955796</v>
      </c>
      <c r="X20" s="167"/>
      <c r="Y20" s="167"/>
      <c r="Z20" s="166"/>
      <c r="AA20" s="168"/>
      <c r="AB20" s="170">
        <f>SUM(AC20:AL20)</f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f t="shared" si="0"/>
        <v>2857.1589555141918</v>
      </c>
    </row>
    <row r="21" spans="1:44" ht="12.75" customHeight="1">
      <c r="A21" s="188" t="s">
        <v>102</v>
      </c>
      <c r="B21" s="189"/>
      <c r="C21" s="190">
        <f>SUM(C22:C24)</f>
        <v>17.334133906438232</v>
      </c>
      <c r="D21" s="191">
        <f>SUM(D22:D24)</f>
        <v>-16.109346637649999</v>
      </c>
      <c r="E21" s="192">
        <f>SUM(E22:E24)</f>
        <v>33.443480544088231</v>
      </c>
      <c r="F21" s="193">
        <f>SUM(F22:F24)</f>
        <v>0</v>
      </c>
      <c r="G21" s="193">
        <f>SUM(G22:G24)</f>
        <v>0</v>
      </c>
      <c r="H21" s="194">
        <f>SUM(I21:K21)</f>
        <v>0</v>
      </c>
      <c r="I21" s="191">
        <f>SUM(I22:I24)</f>
        <v>0</v>
      </c>
      <c r="J21" s="192">
        <f>SUM(J22:J24)</f>
        <v>0</v>
      </c>
      <c r="K21" s="192">
        <f>SUM(K22:K24)</f>
        <v>0</v>
      </c>
      <c r="L21" s="194">
        <f>SUM(M21:Z21)</f>
        <v>-50.703036242756838</v>
      </c>
      <c r="M21" s="192">
        <f t="shared" ref="M21:AQ21" si="9">SUM(M22:M24)</f>
        <v>0</v>
      </c>
      <c r="N21" s="192">
        <f t="shared" si="9"/>
        <v>89.490787873216931</v>
      </c>
      <c r="O21" s="192">
        <f t="shared" si="9"/>
        <v>0</v>
      </c>
      <c r="P21" s="192">
        <f t="shared" si="9"/>
        <v>-49.151990444444422</v>
      </c>
      <c r="Q21" s="192">
        <f t="shared" si="9"/>
        <v>307.59405473888006</v>
      </c>
      <c r="R21" s="192">
        <f t="shared" si="9"/>
        <v>-306.92385170184002</v>
      </c>
      <c r="S21" s="192">
        <f t="shared" si="9"/>
        <v>-4.3509951412429373E-2</v>
      </c>
      <c r="T21" s="192">
        <f t="shared" si="9"/>
        <v>0</v>
      </c>
      <c r="U21" s="192">
        <f t="shared" si="9"/>
        <v>-70.130392850718735</v>
      </c>
      <c r="V21" s="192">
        <f t="shared" si="9"/>
        <v>-17.334133906438232</v>
      </c>
      <c r="W21" s="193">
        <f t="shared" si="9"/>
        <v>-4.2039999999999997</v>
      </c>
      <c r="X21" s="193">
        <f t="shared" si="9"/>
        <v>0</v>
      </c>
      <c r="Y21" s="193">
        <f t="shared" si="9"/>
        <v>0</v>
      </c>
      <c r="Z21" s="192">
        <f t="shared" si="9"/>
        <v>0</v>
      </c>
      <c r="AA21" s="194">
        <f t="shared" si="9"/>
        <v>0</v>
      </c>
      <c r="AB21" s="195">
        <f t="shared" si="9"/>
        <v>-941.31958437687558</v>
      </c>
      <c r="AC21" s="196">
        <f t="shared" si="9"/>
        <v>-76.246216633583984</v>
      </c>
      <c r="AD21" s="192">
        <f t="shared" si="9"/>
        <v>-861.67565739932616</v>
      </c>
      <c r="AE21" s="192">
        <f t="shared" si="9"/>
        <v>0</v>
      </c>
      <c r="AF21" s="192">
        <f t="shared" si="9"/>
        <v>0</v>
      </c>
      <c r="AG21" s="197">
        <f t="shared" si="9"/>
        <v>0</v>
      </c>
      <c r="AH21" s="197">
        <f t="shared" si="9"/>
        <v>0</v>
      </c>
      <c r="AI21" s="197">
        <f t="shared" si="9"/>
        <v>0</v>
      </c>
      <c r="AJ21" s="197">
        <f t="shared" si="9"/>
        <v>0</v>
      </c>
      <c r="AK21" s="191">
        <f t="shared" si="9"/>
        <v>-3.3977103439653655</v>
      </c>
      <c r="AL21" s="197">
        <f t="shared" si="9"/>
        <v>0</v>
      </c>
      <c r="AM21" s="193">
        <f t="shared" si="9"/>
        <v>0</v>
      </c>
      <c r="AN21" s="198">
        <f t="shared" si="9"/>
        <v>0</v>
      </c>
      <c r="AO21" s="194">
        <f t="shared" si="9"/>
        <v>941.31958437687558</v>
      </c>
      <c r="AP21" s="195">
        <f t="shared" si="9"/>
        <v>0</v>
      </c>
      <c r="AQ21" s="199">
        <f t="shared" si="9"/>
        <v>-33.368902336318605</v>
      </c>
    </row>
    <row r="22" spans="1:44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f>SUM(AC22:AM22)</f>
        <v>-941.31958437687558</v>
      </c>
      <c r="AC22" s="158">
        <f>-AC2</f>
        <v>-76.246216633583984</v>
      </c>
      <c r="AD22" s="153">
        <f>-AD2</f>
        <v>-861.67565739932616</v>
      </c>
      <c r="AE22" s="153"/>
      <c r="AF22" s="153"/>
      <c r="AG22" s="161"/>
      <c r="AH22" s="161"/>
      <c r="AI22" s="161"/>
      <c r="AJ22" s="161"/>
      <c r="AK22" s="152">
        <v>-3.3977103439653655</v>
      </c>
      <c r="AL22" s="161"/>
      <c r="AM22" s="154"/>
      <c r="AN22" s="159"/>
      <c r="AO22" s="155">
        <f>-(C22+H22+L22+AA22+AB22)</f>
        <v>941.31958437687558</v>
      </c>
      <c r="AP22" s="157"/>
      <c r="AQ22" s="186">
        <f>C22+H22+L22+AA22+AB22+AN22+AO22+AP22</f>
        <v>0</v>
      </c>
    </row>
    <row r="23" spans="1:44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 s="208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f>C23+H23+L23+AA23+AB23+AN23+AO23+AP23</f>
        <v>0</v>
      </c>
    </row>
    <row r="24" spans="1:44" ht="12.75" customHeight="1" thickBot="1">
      <c r="A24" s="113" t="s">
        <v>434</v>
      </c>
      <c r="B24" s="114"/>
      <c r="C24" s="214">
        <f>SUM(D24:G24)</f>
        <v>17.334133906438232</v>
      </c>
      <c r="D24" s="215">
        <v>-16.109346637649999</v>
      </c>
      <c r="E24" s="122">
        <f>-D24-V24</f>
        <v>33.443480544088231</v>
      </c>
      <c r="F24" s="116"/>
      <c r="G24" s="116"/>
      <c r="H24" s="117"/>
      <c r="I24" s="216"/>
      <c r="J24" s="122"/>
      <c r="K24" s="122"/>
      <c r="L24" s="117">
        <f>SUM(N24:Z24)</f>
        <v>-50.703036242756838</v>
      </c>
      <c r="M24" s="122"/>
      <c r="N24" s="122">
        <v>89.490787873216931</v>
      </c>
      <c r="O24" s="122"/>
      <c r="P24" s="122">
        <v>-49.151990444444422</v>
      </c>
      <c r="Q24" s="122">
        <v>307.59405473888006</v>
      </c>
      <c r="R24" s="122">
        <v>-306.92385170184002</v>
      </c>
      <c r="S24" s="122">
        <v>-4.3509951412429373E-2</v>
      </c>
      <c r="T24" s="122"/>
      <c r="U24" s="122">
        <v>-70.130392850718735</v>
      </c>
      <c r="V24" s="116">
        <v>-17.334133906438232</v>
      </c>
      <c r="W24" s="116">
        <v>-4.2039999999999997</v>
      </c>
      <c r="X24" s="116"/>
      <c r="Y24" s="116"/>
      <c r="Z24" s="122"/>
      <c r="AA24" s="117"/>
      <c r="AB24" s="117">
        <f>SUM(AC24:AM24)</f>
        <v>0</v>
      </c>
      <c r="AC24" s="121"/>
      <c r="AD24" s="122"/>
      <c r="AE24" s="122"/>
      <c r="AF24" s="122"/>
      <c r="AG24" s="122"/>
      <c r="AH24" s="122"/>
      <c r="AI24" s="122"/>
      <c r="AJ24" s="122"/>
      <c r="AK24" s="118"/>
      <c r="AL24" s="118"/>
      <c r="AM24" s="116"/>
      <c r="AN24" s="123"/>
      <c r="AO24" s="117"/>
      <c r="AP24" s="120"/>
      <c r="AQ24" s="124">
        <f>C24+H24+L24+AA24+AB24+AN24+AO24+AP24</f>
        <v>-33.368902336318605</v>
      </c>
    </row>
    <row r="25" spans="1:44" ht="12.75" customHeight="1" thickBot="1">
      <c r="A25" s="174" t="s">
        <v>103</v>
      </c>
      <c r="B25" s="175"/>
      <c r="C25" s="176">
        <f>SUM(D25:G25)</f>
        <v>0</v>
      </c>
      <c r="D25" s="177"/>
      <c r="E25" s="178"/>
      <c r="F25" s="207"/>
      <c r="G25" s="207"/>
      <c r="H25" s="180">
        <f>SUM(I25:K25)</f>
        <v>8.4053952768869742</v>
      </c>
      <c r="I25" s="207">
        <v>8.4053952768869742</v>
      </c>
      <c r="J25" s="217"/>
      <c r="K25" s="209"/>
      <c r="L25" s="180">
        <f>SUM(O25:Z25)</f>
        <v>80.472443177128525</v>
      </c>
      <c r="M25" s="209"/>
      <c r="N25" s="209"/>
      <c r="O25" s="209">
        <v>78.350007757078615</v>
      </c>
      <c r="P25" s="209"/>
      <c r="Q25" s="209"/>
      <c r="R25" s="209"/>
      <c r="S25" s="209">
        <v>0</v>
      </c>
      <c r="T25" s="209">
        <v>4.1693256233877908E-3</v>
      </c>
      <c r="U25" s="209">
        <v>2.1182660944265104</v>
      </c>
      <c r="V25" s="209"/>
      <c r="W25" s="207"/>
      <c r="X25" s="207"/>
      <c r="Y25" s="207"/>
      <c r="Z25" s="209"/>
      <c r="AA25" s="180">
        <v>65.860932825608458</v>
      </c>
      <c r="AB25" s="182">
        <f>SUM(AC25:AI25)</f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254.49061468005289</v>
      </c>
      <c r="AP25" s="182"/>
      <c r="AQ25" s="213">
        <f>C25+H25+L25+AA25+AB25+AN25+AO25+AP25</f>
        <v>409.22938595967685</v>
      </c>
    </row>
    <row r="26" spans="1:44" s="11" customFormat="1" ht="12.75" customHeight="1" thickBot="1">
      <c r="A26" s="218" t="s">
        <v>104</v>
      </c>
      <c r="B26" s="219"/>
      <c r="C26" s="220">
        <f t="shared" ref="C26:AP26" si="10">C7-C9+C15+C21-C25</f>
        <v>256.59842101787535</v>
      </c>
      <c r="D26" s="221">
        <f t="shared" si="10"/>
        <v>161.39264160228208</v>
      </c>
      <c r="E26" s="222">
        <f t="shared" si="10"/>
        <v>85.60995367370063</v>
      </c>
      <c r="F26" s="222">
        <f t="shared" si="10"/>
        <v>0</v>
      </c>
      <c r="G26" s="222">
        <f t="shared" si="10"/>
        <v>9.5958257418926376</v>
      </c>
      <c r="H26" s="223">
        <f t="shared" si="10"/>
        <v>183.49401442833818</v>
      </c>
      <c r="I26" s="221">
        <f t="shared" si="10"/>
        <v>2.0251833818818454E-4</v>
      </c>
      <c r="J26" s="224">
        <f t="shared" si="10"/>
        <v>127.70399999999999</v>
      </c>
      <c r="K26" s="222">
        <f t="shared" si="10"/>
        <v>55.789811910000005</v>
      </c>
      <c r="L26" s="223">
        <f t="shared" si="10"/>
        <v>7247.394604016783</v>
      </c>
      <c r="M26" s="222">
        <f t="shared" si="10"/>
        <v>0</v>
      </c>
      <c r="N26" s="222">
        <f t="shared" si="10"/>
        <v>0.10592816546412109</v>
      </c>
      <c r="O26" s="222">
        <f t="shared" si="10"/>
        <v>-2.9586845597954721</v>
      </c>
      <c r="P26" s="222">
        <f t="shared" si="10"/>
        <v>748.01594337777794</v>
      </c>
      <c r="Q26" s="222">
        <f t="shared" si="10"/>
        <v>922.58719996352011</v>
      </c>
      <c r="R26" s="222">
        <f t="shared" si="10"/>
        <v>1119.9058999063197</v>
      </c>
      <c r="S26" s="222">
        <f t="shared" si="10"/>
        <v>36.339894762408619</v>
      </c>
      <c r="T26" s="222">
        <f t="shared" si="10"/>
        <v>186.3906430963622</v>
      </c>
      <c r="U26" s="222">
        <f t="shared" si="10"/>
        <v>3849.1210104592669</v>
      </c>
      <c r="V26" s="222">
        <f t="shared" si="10"/>
        <v>140.93828398883943</v>
      </c>
      <c r="W26" s="222">
        <f t="shared" si="10"/>
        <v>8.0181210980662954</v>
      </c>
      <c r="X26" s="222">
        <f t="shared" si="10"/>
        <v>198.27377847019878</v>
      </c>
      <c r="Y26" s="222">
        <f t="shared" si="10"/>
        <v>2.1786877819474957</v>
      </c>
      <c r="Z26" s="222">
        <f t="shared" si="10"/>
        <v>38.477897506405931</v>
      </c>
      <c r="AA26" s="223">
        <f t="shared" si="10"/>
        <v>1940.4732212019621</v>
      </c>
      <c r="AB26" s="225">
        <f t="shared" si="10"/>
        <v>490.84157195082935</v>
      </c>
      <c r="AC26" s="147">
        <f t="shared" si="10"/>
        <v>0</v>
      </c>
      <c r="AD26" s="129">
        <f t="shared" si="10"/>
        <v>0</v>
      </c>
      <c r="AE26" s="129">
        <f t="shared" si="10"/>
        <v>185.59665394112363</v>
      </c>
      <c r="AF26" s="129">
        <f t="shared" si="10"/>
        <v>40.395105024547789</v>
      </c>
      <c r="AG26" s="129">
        <f t="shared" si="10"/>
        <v>0</v>
      </c>
      <c r="AH26" s="129">
        <f t="shared" si="10"/>
        <v>10.185099045065435</v>
      </c>
      <c r="AI26" s="129">
        <f t="shared" si="10"/>
        <v>161.499397953216</v>
      </c>
      <c r="AJ26" s="129">
        <f t="shared" si="10"/>
        <v>26.911813626048001</v>
      </c>
      <c r="AK26" s="132">
        <f t="shared" si="10"/>
        <v>0</v>
      </c>
      <c r="AL26" s="132">
        <f t="shared" si="10"/>
        <v>13.690577884670216</v>
      </c>
      <c r="AM26" s="226">
        <f t="shared" si="10"/>
        <v>52.562924476158216</v>
      </c>
      <c r="AN26" s="223">
        <f t="shared" si="10"/>
        <v>56.661712292356881</v>
      </c>
      <c r="AO26" s="223">
        <f t="shared" si="10"/>
        <v>2410.7629003302482</v>
      </c>
      <c r="AP26" s="225">
        <f t="shared" si="10"/>
        <v>0</v>
      </c>
      <c r="AQ26" s="227">
        <f>C26+H26+L26+AA26+AB26+AN26+AO26+AP26</f>
        <v>12586.226445238392</v>
      </c>
      <c r="AR26" s="7"/>
    </row>
    <row r="27" spans="1:44" s="11" customFormat="1" ht="12.75" customHeight="1">
      <c r="A27" s="125" t="s">
        <v>105</v>
      </c>
      <c r="B27" s="126"/>
      <c r="C27" s="127">
        <f t="shared" ref="C27:V27" si="11">C28</f>
        <v>0</v>
      </c>
      <c r="D27" s="132">
        <f t="shared" si="11"/>
        <v>0</v>
      </c>
      <c r="E27" s="129">
        <f t="shared" si="11"/>
        <v>0</v>
      </c>
      <c r="F27" s="146">
        <f t="shared" si="11"/>
        <v>0</v>
      </c>
      <c r="G27" s="146">
        <f t="shared" si="11"/>
        <v>0</v>
      </c>
      <c r="H27" s="130">
        <f t="shared" si="11"/>
        <v>0</v>
      </c>
      <c r="I27" s="132">
        <f t="shared" si="11"/>
        <v>0</v>
      </c>
      <c r="J27" s="131">
        <f t="shared" si="11"/>
        <v>0</v>
      </c>
      <c r="K27" s="129">
        <f t="shared" si="11"/>
        <v>0</v>
      </c>
      <c r="L27" s="130">
        <f t="shared" si="11"/>
        <v>238.9303637585522</v>
      </c>
      <c r="M27" s="129">
        <f t="shared" si="11"/>
        <v>0</v>
      </c>
      <c r="N27" s="129">
        <f t="shared" si="11"/>
        <v>0</v>
      </c>
      <c r="O27" s="129">
        <f t="shared" si="11"/>
        <v>0</v>
      </c>
      <c r="P27" s="129">
        <f t="shared" si="11"/>
        <v>0</v>
      </c>
      <c r="Q27" s="129">
        <f t="shared" si="11"/>
        <v>0</v>
      </c>
      <c r="R27" s="129">
        <f t="shared" si="11"/>
        <v>0</v>
      </c>
      <c r="S27" s="129">
        <f t="shared" si="11"/>
        <v>0</v>
      </c>
      <c r="T27" s="129">
        <f t="shared" si="11"/>
        <v>0</v>
      </c>
      <c r="U27" s="129">
        <f t="shared" si="11"/>
        <v>0</v>
      </c>
      <c r="V27" s="129">
        <f t="shared" si="11"/>
        <v>0</v>
      </c>
      <c r="W27" s="146"/>
      <c r="X27" s="146">
        <f t="shared" ref="X27:AQ27" si="12">X28</f>
        <v>198.27377847019878</v>
      </c>
      <c r="Y27" s="146">
        <f t="shared" si="12"/>
        <v>2.1786877819474957</v>
      </c>
      <c r="Z27" s="129">
        <f t="shared" si="12"/>
        <v>38.477897506405931</v>
      </c>
      <c r="AA27" s="130">
        <f t="shared" si="12"/>
        <v>0</v>
      </c>
      <c r="AB27" s="128">
        <f t="shared" si="12"/>
        <v>0</v>
      </c>
      <c r="AC27" s="147">
        <f t="shared" si="12"/>
        <v>0</v>
      </c>
      <c r="AD27" s="129">
        <f t="shared" si="12"/>
        <v>0</v>
      </c>
      <c r="AE27" s="129">
        <f t="shared" si="12"/>
        <v>0</v>
      </c>
      <c r="AF27" s="129">
        <f t="shared" si="12"/>
        <v>0</v>
      </c>
      <c r="AG27" s="129">
        <f t="shared" si="12"/>
        <v>0</v>
      </c>
      <c r="AH27" s="129">
        <f t="shared" si="12"/>
        <v>0</v>
      </c>
      <c r="AI27" s="129">
        <f t="shared" si="12"/>
        <v>0</v>
      </c>
      <c r="AJ27" s="129">
        <f t="shared" si="12"/>
        <v>0</v>
      </c>
      <c r="AK27" s="132">
        <f t="shared" si="12"/>
        <v>0</v>
      </c>
      <c r="AL27" s="132">
        <f t="shared" si="12"/>
        <v>0</v>
      </c>
      <c r="AM27" s="146">
        <f t="shared" si="12"/>
        <v>0</v>
      </c>
      <c r="AN27" s="130">
        <f t="shared" si="12"/>
        <v>0</v>
      </c>
      <c r="AO27" s="130">
        <f t="shared" si="12"/>
        <v>0</v>
      </c>
      <c r="AP27" s="128">
        <f t="shared" si="12"/>
        <v>0</v>
      </c>
      <c r="AQ27" s="134">
        <f t="shared" si="12"/>
        <v>238.9303637585522</v>
      </c>
      <c r="AR27" s="7"/>
    </row>
    <row r="28" spans="1:44" ht="12.75" customHeight="1" thickBot="1">
      <c r="A28" s="228" t="s">
        <v>106</v>
      </c>
      <c r="B28" s="229"/>
      <c r="C28" s="230">
        <f>SUM(D28:G28)</f>
        <v>0</v>
      </c>
      <c r="D28" s="191"/>
      <c r="E28" s="192"/>
      <c r="F28" s="193"/>
      <c r="G28" s="193"/>
      <c r="H28" s="198">
        <f>SUM(I28:K28)</f>
        <v>0</v>
      </c>
      <c r="I28" s="191"/>
      <c r="J28" s="231"/>
      <c r="K28" s="192"/>
      <c r="L28" s="198">
        <f>SUM(M28:Z28)</f>
        <v>238.9303637585522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f>X26</f>
        <v>198.27377847019878</v>
      </c>
      <c r="Y28" s="193">
        <f>Y26</f>
        <v>2.1786877819474957</v>
      </c>
      <c r="Z28" s="192">
        <f>Z26</f>
        <v>38.477897506405931</v>
      </c>
      <c r="AA28" s="198">
        <v>0</v>
      </c>
      <c r="AB28" s="232">
        <f>SUM(AC28:AI28)</f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f>C28+H28+L28+AA28+AB28+AN28+AO28+AP28</f>
        <v>238.9303637585522</v>
      </c>
    </row>
    <row r="29" spans="1:44" s="11" customFormat="1" ht="12.75" customHeight="1" thickBot="1">
      <c r="A29" s="125" t="s">
        <v>107</v>
      </c>
      <c r="B29" s="126"/>
      <c r="C29" s="127">
        <f t="shared" ref="C29:AQ29" si="13">C30+C45+C56+C58+C65+C70+C71</f>
        <v>265.65655423564471</v>
      </c>
      <c r="D29" s="132">
        <f t="shared" si="13"/>
        <v>168.32812387512951</v>
      </c>
      <c r="E29" s="129">
        <f t="shared" si="13"/>
        <v>88.256941951509248</v>
      </c>
      <c r="F29" s="146">
        <f t="shared" si="13"/>
        <v>0</v>
      </c>
      <c r="G29" s="146">
        <f t="shared" si="13"/>
        <v>9.0714884090059194</v>
      </c>
      <c r="H29" s="130">
        <f t="shared" si="13"/>
        <v>183.49320499999999</v>
      </c>
      <c r="I29" s="132">
        <f t="shared" si="13"/>
        <v>0</v>
      </c>
      <c r="J29" s="233">
        <f t="shared" si="13"/>
        <v>127.70399999999999</v>
      </c>
      <c r="K29" s="132">
        <f t="shared" si="13"/>
        <v>55.789205000000003</v>
      </c>
      <c r="L29" s="130">
        <f t="shared" si="13"/>
        <v>7022.307718849569</v>
      </c>
      <c r="M29" s="129">
        <f t="shared" si="13"/>
        <v>0</v>
      </c>
      <c r="N29" s="129">
        <f t="shared" si="13"/>
        <v>0</v>
      </c>
      <c r="O29" s="129">
        <f t="shared" si="13"/>
        <v>0</v>
      </c>
      <c r="P29" s="129">
        <f t="shared" si="13"/>
        <v>780.92608129041673</v>
      </c>
      <c r="Q29" s="129">
        <f t="shared" si="13"/>
        <v>910.51333330047999</v>
      </c>
      <c r="R29" s="129">
        <f t="shared" si="13"/>
        <v>1115.6537766794397</v>
      </c>
      <c r="S29" s="129">
        <f t="shared" si="13"/>
        <v>29.695189152151887</v>
      </c>
      <c r="T29" s="129">
        <f t="shared" si="13"/>
        <v>180.27421114819845</v>
      </c>
      <c r="U29" s="129">
        <f t="shared" si="13"/>
        <v>3864.7831126557116</v>
      </c>
      <c r="V29" s="129">
        <f t="shared" si="13"/>
        <v>140.46201462316921</v>
      </c>
      <c r="W29" s="146">
        <f t="shared" si="13"/>
        <v>0</v>
      </c>
      <c r="X29" s="146">
        <f t="shared" si="13"/>
        <v>0</v>
      </c>
      <c r="Y29" s="146">
        <f t="shared" si="13"/>
        <v>0</v>
      </c>
      <c r="Z29" s="132">
        <f t="shared" si="13"/>
        <v>0</v>
      </c>
      <c r="AA29" s="223">
        <f t="shared" si="13"/>
        <v>1973.3401425006634</v>
      </c>
      <c r="AB29" s="128">
        <f t="shared" si="13"/>
        <v>490.27808296634151</v>
      </c>
      <c r="AC29" s="147">
        <f t="shared" si="13"/>
        <v>0</v>
      </c>
      <c r="AD29" s="129">
        <f t="shared" si="13"/>
        <v>0</v>
      </c>
      <c r="AE29" s="129">
        <f t="shared" si="13"/>
        <v>185.35889708775588</v>
      </c>
      <c r="AF29" s="129">
        <f t="shared" si="13"/>
        <v>40.395105024547775</v>
      </c>
      <c r="AG29" s="129">
        <f t="shared" si="13"/>
        <v>0</v>
      </c>
      <c r="AH29" s="129">
        <f t="shared" si="13"/>
        <v>10.185099045065435</v>
      </c>
      <c r="AI29" s="129">
        <f t="shared" si="13"/>
        <v>161.89653003302402</v>
      </c>
      <c r="AJ29" s="129">
        <f t="shared" si="13"/>
        <v>26.188949415119996</v>
      </c>
      <c r="AK29" s="128">
        <f t="shared" si="13"/>
        <v>0</v>
      </c>
      <c r="AL29" s="128">
        <f t="shared" si="13"/>
        <v>13.690577884670214</v>
      </c>
      <c r="AM29" s="128">
        <f t="shared" si="13"/>
        <v>52.56292447615823</v>
      </c>
      <c r="AN29" s="128">
        <f t="shared" si="13"/>
        <v>56.661712292356889</v>
      </c>
      <c r="AO29" s="130">
        <f t="shared" si="13"/>
        <v>2444.449079574531</v>
      </c>
      <c r="AP29" s="128">
        <f t="shared" si="13"/>
        <v>0</v>
      </c>
      <c r="AQ29" s="227">
        <f t="shared" si="13"/>
        <v>12436.186495419108</v>
      </c>
      <c r="AR29" s="7"/>
    </row>
    <row r="30" spans="1:44" s="11" customFormat="1" ht="12.75" customHeight="1">
      <c r="A30" s="234" t="s">
        <v>108</v>
      </c>
      <c r="B30" s="235"/>
      <c r="C30" s="236">
        <f>SUM(C31:C44)</f>
        <v>79.151175402500002</v>
      </c>
      <c r="D30" s="237">
        <v>79.151175402500002</v>
      </c>
      <c r="E30" s="237">
        <v>0</v>
      </c>
      <c r="F30" s="238"/>
      <c r="G30" s="238"/>
      <c r="H30" s="239">
        <f>SUM(H31:H44)</f>
        <v>0</v>
      </c>
      <c r="I30" s="240">
        <f t="shared" ref="I30:K30" si="14">SUM(I31:I44)</f>
        <v>0</v>
      </c>
      <c r="J30" s="237">
        <f t="shared" si="14"/>
        <v>0</v>
      </c>
      <c r="K30" s="237">
        <f t="shared" si="14"/>
        <v>0</v>
      </c>
      <c r="L30" s="239">
        <f>SUM(L31:L44)</f>
        <v>330.13645825890882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5.8818203964251996</v>
      </c>
      <c r="R30" s="237">
        <f>SUM(R31:R44)</f>
        <v>0</v>
      </c>
      <c r="S30" s="237">
        <v>29.48588602919402</v>
      </c>
      <c r="T30" s="237">
        <v>57.932680649403608</v>
      </c>
      <c r="U30" s="237">
        <v>99.857617671050932</v>
      </c>
      <c r="V30" s="237">
        <v>136.9784535128351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1027.2882562518741</v>
      </c>
      <c r="AB30" s="241">
        <f t="shared" ref="AB30:AN30" si="15">SUM(AB31:AB44)</f>
        <v>190.16491842348387</v>
      </c>
      <c r="AC30" s="242">
        <f t="shared" si="15"/>
        <v>0</v>
      </c>
      <c r="AD30" s="237">
        <f t="shared" si="15"/>
        <v>0</v>
      </c>
      <c r="AE30" s="237">
        <f t="shared" si="15"/>
        <v>145.89504204028125</v>
      </c>
      <c r="AF30" s="237">
        <f t="shared" si="15"/>
        <v>40.395105024547775</v>
      </c>
      <c r="AG30" s="237">
        <f t="shared" si="15"/>
        <v>0</v>
      </c>
      <c r="AH30" s="237">
        <f t="shared" si="15"/>
        <v>3.8747713586548427</v>
      </c>
      <c r="AI30" s="237">
        <f t="shared" si="15"/>
        <v>0</v>
      </c>
      <c r="AJ30" s="237">
        <f t="shared" si="15"/>
        <v>0</v>
      </c>
      <c r="AK30" s="237">
        <f t="shared" si="15"/>
        <v>0</v>
      </c>
      <c r="AL30" s="237">
        <f t="shared" si="15"/>
        <v>0</v>
      </c>
      <c r="AM30" s="243">
        <f t="shared" si="15"/>
        <v>0</v>
      </c>
      <c r="AN30" s="240">
        <f t="shared" si="15"/>
        <v>56.661712292356889</v>
      </c>
      <c r="AO30" s="239">
        <v>573.29669378023141</v>
      </c>
      <c r="AP30" s="241">
        <f>SUM(AP31:AP44)</f>
        <v>0</v>
      </c>
      <c r="AQ30" s="148">
        <f t="shared" ref="AQ30:AQ72" si="16">C30+H30+L30+AA30+AB30+AN30+AO30+AP30</f>
        <v>2256.6992144093551</v>
      </c>
      <c r="AR30" s="7"/>
    </row>
    <row r="31" spans="1:44" ht="12.75" customHeight="1">
      <c r="A31" s="244" t="s">
        <v>109</v>
      </c>
      <c r="B31" s="245" t="s">
        <v>110</v>
      </c>
      <c r="C31" s="246">
        <f t="shared" ref="C31:C43" si="17">SUM(D31:G31)</f>
        <v>0</v>
      </c>
      <c r="D31" s="158">
        <v>0</v>
      </c>
      <c r="E31" s="247"/>
      <c r="F31" s="247"/>
      <c r="G31" s="248"/>
      <c r="H31" s="249">
        <f t="shared" ref="H31:H43" si="18">SUM(I31:K31)</f>
        <v>0</v>
      </c>
      <c r="I31" s="250"/>
      <c r="J31" s="161"/>
      <c r="K31" s="161"/>
      <c r="L31" s="249">
        <f t="shared" ref="L31:L43" si="19">SUM(M31:Z31)</f>
        <v>28.937234692017348</v>
      </c>
      <c r="M31" s="161"/>
      <c r="N31" s="161"/>
      <c r="O31" s="161"/>
      <c r="P31" s="252"/>
      <c r="Q31" s="203">
        <v>0.16500000000000001</v>
      </c>
      <c r="R31" s="247"/>
      <c r="S31" s="203">
        <v>0</v>
      </c>
      <c r="T31" s="203">
        <v>1.623469201734723E-2</v>
      </c>
      <c r="U31" s="203">
        <v>28.756</v>
      </c>
      <c r="V31" s="203">
        <v>0</v>
      </c>
      <c r="W31" s="247"/>
      <c r="X31" s="250"/>
      <c r="Y31" s="252"/>
      <c r="Z31" s="161"/>
      <c r="AA31" s="159">
        <v>14.571160707734615</v>
      </c>
      <c r="AB31" s="253">
        <f t="shared" ref="AB31:AB43" si="20">SUM(AC31:AM31)</f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26.162679918110541</v>
      </c>
      <c r="AP31" s="253"/>
      <c r="AQ31" s="160">
        <f t="shared" si="16"/>
        <v>69.671075317862503</v>
      </c>
    </row>
    <row r="32" spans="1:44" ht="12.75" customHeight="1">
      <c r="A32" s="255" t="s">
        <v>111</v>
      </c>
      <c r="B32" s="256" t="s">
        <v>112</v>
      </c>
      <c r="C32" s="100">
        <f t="shared" si="17"/>
        <v>0</v>
      </c>
      <c r="D32" s="109">
        <v>0</v>
      </c>
      <c r="E32" s="257"/>
      <c r="F32" s="257"/>
      <c r="G32" s="258"/>
      <c r="H32" s="104">
        <f t="shared" si="18"/>
        <v>0</v>
      </c>
      <c r="I32" s="105">
        <v>0</v>
      </c>
      <c r="J32" s="107"/>
      <c r="K32" s="107"/>
      <c r="L32" s="104">
        <f t="shared" si="19"/>
        <v>67.59052476319728</v>
      </c>
      <c r="M32" s="107"/>
      <c r="N32" s="107"/>
      <c r="O32" s="107"/>
      <c r="P32" s="252"/>
      <c r="Q32" s="257">
        <v>1.54</v>
      </c>
      <c r="R32" s="257"/>
      <c r="S32" s="257">
        <v>19.314129079223996</v>
      </c>
      <c r="T32" s="257">
        <v>36.048395683973283</v>
      </c>
      <c r="U32" s="257">
        <v>10.688000000000001</v>
      </c>
      <c r="V32" s="257">
        <v>0</v>
      </c>
      <c r="W32" s="257"/>
      <c r="X32" s="105"/>
      <c r="Y32" s="103"/>
      <c r="Z32" s="107"/>
      <c r="AA32" s="110">
        <v>304.38798337318332</v>
      </c>
      <c r="AB32" s="108">
        <f t="shared" si="20"/>
        <v>27.181471351214846</v>
      </c>
      <c r="AC32" s="109"/>
      <c r="AD32" s="107"/>
      <c r="AE32" s="107">
        <v>23.306699992560002</v>
      </c>
      <c r="AF32" s="107"/>
      <c r="AG32" s="161"/>
      <c r="AH32" s="161">
        <v>3.8747713586548427</v>
      </c>
      <c r="AI32" s="161"/>
      <c r="AJ32" s="161"/>
      <c r="AK32" s="105"/>
      <c r="AL32" s="103"/>
      <c r="AM32" s="107"/>
      <c r="AN32" s="110"/>
      <c r="AO32" s="110">
        <v>98.34903012536931</v>
      </c>
      <c r="AP32" s="108"/>
      <c r="AQ32" s="111">
        <f t="shared" si="16"/>
        <v>497.50900961296475</v>
      </c>
    </row>
    <row r="33" spans="1:44" ht="12.75" customHeight="1">
      <c r="A33" s="255" t="s">
        <v>113</v>
      </c>
      <c r="B33" s="259" t="s">
        <v>114</v>
      </c>
      <c r="C33" s="100">
        <f t="shared" si="17"/>
        <v>0</v>
      </c>
      <c r="D33" s="109">
        <v>0</v>
      </c>
      <c r="E33" s="257"/>
      <c r="F33" s="257"/>
      <c r="G33" s="258"/>
      <c r="H33" s="104">
        <f t="shared" si="18"/>
        <v>0</v>
      </c>
      <c r="I33" s="105"/>
      <c r="J33" s="107"/>
      <c r="K33" s="107"/>
      <c r="L33" s="104">
        <f t="shared" si="19"/>
        <v>2.1523819815729457</v>
      </c>
      <c r="M33" s="107"/>
      <c r="N33" s="107"/>
      <c r="O33" s="107"/>
      <c r="P33" s="252"/>
      <c r="Q33" s="257">
        <v>8.9999999999999993E-3</v>
      </c>
      <c r="R33" s="257"/>
      <c r="S33" s="257">
        <v>0</v>
      </c>
      <c r="T33" s="257">
        <v>1.8123819815729458</v>
      </c>
      <c r="U33" s="257">
        <v>0.33100000000000002</v>
      </c>
      <c r="V33" s="257">
        <v>0</v>
      </c>
      <c r="W33" s="257"/>
      <c r="X33" s="105"/>
      <c r="Y33" s="103"/>
      <c r="Z33" s="107"/>
      <c r="AA33" s="110">
        <v>12.129601488479675</v>
      </c>
      <c r="AB33" s="108">
        <f t="shared" si="20"/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3.4360368918250068</v>
      </c>
      <c r="AP33" s="108"/>
      <c r="AQ33" s="111">
        <f t="shared" si="16"/>
        <v>17.718020361877628</v>
      </c>
    </row>
    <row r="34" spans="1:44" ht="12.75" customHeight="1">
      <c r="A34" s="255" t="s">
        <v>115</v>
      </c>
      <c r="B34" s="259" t="s">
        <v>116</v>
      </c>
      <c r="C34" s="100">
        <f t="shared" si="17"/>
        <v>0</v>
      </c>
      <c r="D34" s="109">
        <v>0</v>
      </c>
      <c r="E34" s="257"/>
      <c r="F34" s="257"/>
      <c r="G34" s="258"/>
      <c r="H34" s="104">
        <f t="shared" si="18"/>
        <v>0</v>
      </c>
      <c r="I34" s="105"/>
      <c r="J34" s="107"/>
      <c r="K34" s="107"/>
      <c r="L34" s="104">
        <f t="shared" si="19"/>
        <v>2.5074424155667088</v>
      </c>
      <c r="M34" s="107"/>
      <c r="N34" s="107"/>
      <c r="O34" s="107"/>
      <c r="P34" s="252"/>
      <c r="Q34" s="257">
        <v>9.8000000000000004E-2</v>
      </c>
      <c r="R34" s="257"/>
      <c r="S34" s="257">
        <v>0</v>
      </c>
      <c r="T34" s="257">
        <v>0.61544241556670876</v>
      </c>
      <c r="U34" s="257">
        <v>1.794</v>
      </c>
      <c r="V34" s="257">
        <v>0</v>
      </c>
      <c r="W34" s="257"/>
      <c r="X34" s="105"/>
      <c r="Y34" s="103"/>
      <c r="Z34" s="107"/>
      <c r="AA34" s="110">
        <v>9.0928195219574501</v>
      </c>
      <c r="AB34" s="108">
        <f t="shared" si="20"/>
        <v>121.47971774049945</v>
      </c>
      <c r="AC34" s="109"/>
      <c r="AD34" s="107"/>
      <c r="AE34" s="107">
        <v>121.47971774049945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23.698408762676255</v>
      </c>
      <c r="AP34" s="108"/>
      <c r="AQ34" s="111">
        <f t="shared" si="16"/>
        <v>156.77838844069987</v>
      </c>
    </row>
    <row r="35" spans="1:44" ht="12.75" customHeight="1">
      <c r="A35" s="255" t="s">
        <v>117</v>
      </c>
      <c r="B35" s="259" t="s">
        <v>118</v>
      </c>
      <c r="C35" s="100">
        <f t="shared" si="17"/>
        <v>0</v>
      </c>
      <c r="D35" s="109">
        <v>0</v>
      </c>
      <c r="E35" s="257"/>
      <c r="F35" s="257"/>
      <c r="G35" s="258"/>
      <c r="H35" s="104">
        <f t="shared" si="18"/>
        <v>0</v>
      </c>
      <c r="I35" s="105"/>
      <c r="J35" s="107"/>
      <c r="K35" s="107"/>
      <c r="L35" s="104">
        <f t="shared" si="19"/>
        <v>0.65611498656661138</v>
      </c>
      <c r="M35" s="107"/>
      <c r="N35" s="107"/>
      <c r="O35" s="107"/>
      <c r="P35" s="252"/>
      <c r="Q35" s="257">
        <v>3.2000000000000001E-2</v>
      </c>
      <c r="R35" s="257"/>
      <c r="S35" s="257">
        <v>0</v>
      </c>
      <c r="T35" s="257">
        <v>0.36011498656661139</v>
      </c>
      <c r="U35" s="257">
        <v>0.26400000000000001</v>
      </c>
      <c r="V35" s="257">
        <v>0</v>
      </c>
      <c r="W35" s="257"/>
      <c r="X35" s="105"/>
      <c r="Y35" s="103"/>
      <c r="Z35" s="107"/>
      <c r="AA35" s="110">
        <v>6.4773447095032344</v>
      </c>
      <c r="AB35" s="108">
        <f t="shared" si="20"/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6.499211495665314</v>
      </c>
      <c r="AP35" s="108"/>
      <c r="AQ35" s="111">
        <f t="shared" si="16"/>
        <v>13.63267119173516</v>
      </c>
    </row>
    <row r="36" spans="1:44" ht="12.75" customHeight="1">
      <c r="A36" s="255" t="s">
        <v>119</v>
      </c>
      <c r="B36" s="259" t="s">
        <v>120</v>
      </c>
      <c r="C36" s="100">
        <f t="shared" si="17"/>
        <v>0</v>
      </c>
      <c r="D36" s="254">
        <v>0</v>
      </c>
      <c r="E36" s="257"/>
      <c r="F36" s="257"/>
      <c r="G36" s="258"/>
      <c r="H36" s="104">
        <f t="shared" si="18"/>
        <v>0</v>
      </c>
      <c r="I36" s="105"/>
      <c r="J36" s="107"/>
      <c r="K36" s="107"/>
      <c r="L36" s="104">
        <f t="shared" si="19"/>
        <v>20.046018056280207</v>
      </c>
      <c r="M36" s="107"/>
      <c r="N36" s="107"/>
      <c r="O36" s="107"/>
      <c r="P36" s="252"/>
      <c r="Q36" s="247">
        <v>0.30700000000000005</v>
      </c>
      <c r="R36" s="257"/>
      <c r="S36" s="247">
        <v>3.4063190006999995</v>
      </c>
      <c r="T36" s="247">
        <v>3.4417547076776138</v>
      </c>
      <c r="U36" s="247">
        <v>3.7950000000000004</v>
      </c>
      <c r="V36" s="247">
        <v>9.0959443479025932</v>
      </c>
      <c r="W36" s="257"/>
      <c r="X36" s="105"/>
      <c r="Y36" s="103"/>
      <c r="Z36" s="107"/>
      <c r="AA36" s="260">
        <v>125.31427399743582</v>
      </c>
      <c r="AB36" s="108">
        <f t="shared" si="20"/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86.41004304012553</v>
      </c>
      <c r="AP36" s="108"/>
      <c r="AQ36" s="111">
        <f t="shared" si="16"/>
        <v>231.77033509384154</v>
      </c>
    </row>
    <row r="37" spans="1:44" ht="12.75" customHeight="1">
      <c r="A37" s="255" t="s">
        <v>121</v>
      </c>
      <c r="B37" s="259" t="s">
        <v>122</v>
      </c>
      <c r="C37" s="100">
        <f t="shared" si="17"/>
        <v>0</v>
      </c>
      <c r="D37" s="109">
        <v>0</v>
      </c>
      <c r="E37" s="257"/>
      <c r="F37" s="257"/>
      <c r="G37" s="258"/>
      <c r="H37" s="104">
        <f t="shared" si="18"/>
        <v>0</v>
      </c>
      <c r="I37" s="105"/>
      <c r="J37" s="107"/>
      <c r="K37" s="107"/>
      <c r="L37" s="104">
        <f t="shared" si="19"/>
        <v>3.4676194320007792</v>
      </c>
      <c r="M37" s="107"/>
      <c r="N37" s="107"/>
      <c r="O37" s="107"/>
      <c r="P37" s="252"/>
      <c r="Q37" s="257">
        <v>0.63300000000000001</v>
      </c>
      <c r="R37" s="257"/>
      <c r="S37" s="257">
        <v>0</v>
      </c>
      <c r="T37" s="257">
        <v>2.0426194320007793</v>
      </c>
      <c r="U37" s="257">
        <v>0.79200000000000004</v>
      </c>
      <c r="V37" s="257">
        <v>0</v>
      </c>
      <c r="W37" s="257"/>
      <c r="X37" s="105"/>
      <c r="Y37" s="103"/>
      <c r="Z37" s="107"/>
      <c r="AA37" s="110">
        <v>11.933440877545609</v>
      </c>
      <c r="AB37" s="108">
        <f t="shared" si="20"/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21.615450032064846</v>
      </c>
      <c r="AP37" s="108"/>
      <c r="AQ37" s="111">
        <f t="shared" si="16"/>
        <v>37.016510341611237</v>
      </c>
    </row>
    <row r="38" spans="1:44" ht="12.75" customHeight="1">
      <c r="A38" s="255" t="s">
        <v>123</v>
      </c>
      <c r="B38" s="259" t="s">
        <v>124</v>
      </c>
      <c r="C38" s="100">
        <f t="shared" si="17"/>
        <v>79.151175402500002</v>
      </c>
      <c r="D38" s="109">
        <v>79.151175402500002</v>
      </c>
      <c r="E38" s="257"/>
      <c r="F38" s="257"/>
      <c r="G38" s="258"/>
      <c r="H38" s="104">
        <f t="shared" si="18"/>
        <v>0</v>
      </c>
      <c r="I38" s="105"/>
      <c r="J38" s="107"/>
      <c r="K38" s="107"/>
      <c r="L38" s="104">
        <f t="shared" si="19"/>
        <v>142.94126307467326</v>
      </c>
      <c r="M38" s="107"/>
      <c r="N38" s="107"/>
      <c r="O38" s="107"/>
      <c r="P38" s="252"/>
      <c r="Q38" s="257">
        <v>0.92700000000000005</v>
      </c>
      <c r="R38" s="257"/>
      <c r="S38" s="257">
        <v>0</v>
      </c>
      <c r="T38" s="257">
        <v>2.309753909740766</v>
      </c>
      <c r="U38" s="257">
        <v>11.821999999999999</v>
      </c>
      <c r="V38" s="257">
        <v>127.8825091649325</v>
      </c>
      <c r="W38" s="257"/>
      <c r="X38" s="105"/>
      <c r="Y38" s="103"/>
      <c r="Z38" s="107"/>
      <c r="AA38" s="110">
        <v>33.906125667947045</v>
      </c>
      <c r="AB38" s="108">
        <f t="shared" si="20"/>
        <v>41.503729331769577</v>
      </c>
      <c r="AC38" s="109"/>
      <c r="AD38" s="107"/>
      <c r="AE38" s="107">
        <v>1.1086243072218001</v>
      </c>
      <c r="AF38" s="107">
        <v>40.395105024547775</v>
      </c>
      <c r="AG38" s="161"/>
      <c r="AH38" s="161"/>
      <c r="AI38" s="161"/>
      <c r="AJ38" s="161"/>
      <c r="AK38" s="105"/>
      <c r="AL38" s="103"/>
      <c r="AM38" s="107"/>
      <c r="AN38" s="110">
        <v>56.661712292356889</v>
      </c>
      <c r="AO38" s="110">
        <v>66.522645991468522</v>
      </c>
      <c r="AP38" s="108"/>
      <c r="AQ38" s="111">
        <f t="shared" si="16"/>
        <v>420.68665176071522</v>
      </c>
    </row>
    <row r="39" spans="1:44" ht="12.75" customHeight="1">
      <c r="A39" s="255" t="s">
        <v>125</v>
      </c>
      <c r="B39" s="259" t="s">
        <v>126</v>
      </c>
      <c r="C39" s="100">
        <f t="shared" si="17"/>
        <v>0</v>
      </c>
      <c r="D39" s="109">
        <v>0</v>
      </c>
      <c r="E39" s="257"/>
      <c r="F39" s="257"/>
      <c r="G39" s="258"/>
      <c r="H39" s="104">
        <f t="shared" si="18"/>
        <v>0</v>
      </c>
      <c r="I39" s="105"/>
      <c r="J39" s="107"/>
      <c r="K39" s="107"/>
      <c r="L39" s="104">
        <f t="shared" si="19"/>
        <v>6.4271623854785567</v>
      </c>
      <c r="M39" s="107"/>
      <c r="N39" s="107"/>
      <c r="O39" s="107"/>
      <c r="P39" s="252"/>
      <c r="Q39" s="257">
        <v>0.39200000000000002</v>
      </c>
      <c r="R39" s="257"/>
      <c r="S39" s="257">
        <v>3.2590363652700001</v>
      </c>
      <c r="T39" s="257">
        <v>1.2161260202085564</v>
      </c>
      <c r="U39" s="257">
        <v>1.56</v>
      </c>
      <c r="V39" s="257">
        <v>0</v>
      </c>
      <c r="W39" s="257"/>
      <c r="X39" s="105"/>
      <c r="Y39" s="103"/>
      <c r="Z39" s="107"/>
      <c r="AA39" s="110">
        <v>426.98367813906225</v>
      </c>
      <c r="AB39" s="108">
        <f t="shared" si="20"/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62.119068431671877</v>
      </c>
      <c r="AP39" s="108"/>
      <c r="AQ39" s="111">
        <f t="shared" si="16"/>
        <v>495.52990895621269</v>
      </c>
    </row>
    <row r="40" spans="1:44" ht="12.75" customHeight="1">
      <c r="A40" s="255" t="s">
        <v>127</v>
      </c>
      <c r="B40" s="259" t="s">
        <v>128</v>
      </c>
      <c r="C40" s="100">
        <f t="shared" si="17"/>
        <v>0</v>
      </c>
      <c r="D40" s="109">
        <v>0</v>
      </c>
      <c r="E40" s="257"/>
      <c r="F40" s="257"/>
      <c r="G40" s="258"/>
      <c r="H40" s="104">
        <f t="shared" si="18"/>
        <v>0</v>
      </c>
      <c r="I40" s="105"/>
      <c r="J40" s="107"/>
      <c r="K40" s="107"/>
      <c r="L40" s="104">
        <f t="shared" si="19"/>
        <v>3.2890025761105153</v>
      </c>
      <c r="M40" s="107"/>
      <c r="N40" s="107"/>
      <c r="O40" s="107"/>
      <c r="P40" s="252"/>
      <c r="Q40" s="257">
        <v>0.27700000000000002</v>
      </c>
      <c r="R40" s="257"/>
      <c r="S40" s="257">
        <v>0</v>
      </c>
      <c r="T40" s="257">
        <v>1.8050025761105153</v>
      </c>
      <c r="U40" s="257">
        <v>1.2069999999999999</v>
      </c>
      <c r="V40" s="257">
        <v>0</v>
      </c>
      <c r="W40" s="257"/>
      <c r="X40" s="105"/>
      <c r="Y40" s="103"/>
      <c r="Z40" s="107"/>
      <c r="AA40" s="110">
        <v>14.667555784585376</v>
      </c>
      <c r="AB40" s="108">
        <f t="shared" si="20"/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17.734724689130609</v>
      </c>
      <c r="AP40" s="108"/>
      <c r="AQ40" s="111">
        <f t="shared" si="16"/>
        <v>35.691283049826495</v>
      </c>
    </row>
    <row r="41" spans="1:44" ht="12.75" customHeight="1">
      <c r="A41" s="255" t="s">
        <v>129</v>
      </c>
      <c r="B41" s="259" t="s">
        <v>130</v>
      </c>
      <c r="C41" s="100">
        <f t="shared" si="17"/>
        <v>0</v>
      </c>
      <c r="D41" s="254">
        <v>0</v>
      </c>
      <c r="E41" s="257"/>
      <c r="F41" s="257"/>
      <c r="G41" s="258"/>
      <c r="H41" s="104">
        <f t="shared" si="18"/>
        <v>0</v>
      </c>
      <c r="I41" s="105"/>
      <c r="J41" s="107"/>
      <c r="K41" s="107"/>
      <c r="L41" s="104">
        <f t="shared" si="19"/>
        <v>2.3324692017347237</v>
      </c>
      <c r="M41" s="107"/>
      <c r="N41" s="107"/>
      <c r="O41" s="107"/>
      <c r="P41" s="252"/>
      <c r="Q41" s="247">
        <v>0.24299999999999999</v>
      </c>
      <c r="R41" s="257"/>
      <c r="S41" s="247">
        <v>0</v>
      </c>
      <c r="T41" s="247">
        <v>1.6234692017347234</v>
      </c>
      <c r="U41" s="247">
        <v>0.46600000000000003</v>
      </c>
      <c r="V41" s="247">
        <v>0</v>
      </c>
      <c r="W41" s="257"/>
      <c r="X41" s="105"/>
      <c r="Y41" s="103"/>
      <c r="Z41" s="107"/>
      <c r="AA41" s="260">
        <v>20.138481964450943</v>
      </c>
      <c r="AB41" s="108">
        <f t="shared" si="20"/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97.133266687776157</v>
      </c>
      <c r="AP41" s="108"/>
      <c r="AQ41" s="111">
        <f t="shared" si="16"/>
        <v>119.60421785396183</v>
      </c>
    </row>
    <row r="42" spans="1:44" ht="12.75" customHeight="1">
      <c r="A42" s="255" t="s">
        <v>131</v>
      </c>
      <c r="B42" s="259" t="s">
        <v>132</v>
      </c>
      <c r="C42" s="100">
        <f t="shared" si="17"/>
        <v>0</v>
      </c>
      <c r="D42" s="109">
        <v>0</v>
      </c>
      <c r="E42" s="257"/>
      <c r="F42" s="257"/>
      <c r="G42" s="258"/>
      <c r="H42" s="104">
        <f t="shared" si="18"/>
        <v>0</v>
      </c>
      <c r="I42" s="105"/>
      <c r="J42" s="107"/>
      <c r="K42" s="107"/>
      <c r="L42" s="104">
        <f t="shared" si="19"/>
        <v>1.3366956185206118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0.99769561852061184</v>
      </c>
      <c r="U42" s="257">
        <v>0.26200000000000001</v>
      </c>
      <c r="V42" s="257">
        <v>0</v>
      </c>
      <c r="W42" s="257"/>
      <c r="X42" s="105"/>
      <c r="Y42" s="103"/>
      <c r="Z42" s="107"/>
      <c r="AA42" s="110">
        <v>1.2558323648459284</v>
      </c>
      <c r="AB42" s="108">
        <f t="shared" si="20"/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3.7508044890472179</v>
      </c>
      <c r="AP42" s="108"/>
      <c r="AQ42" s="111">
        <f t="shared" si="16"/>
        <v>6.3433324724137581</v>
      </c>
    </row>
    <row r="43" spans="1:44" ht="12.75" customHeight="1">
      <c r="A43" s="255" t="s">
        <v>133</v>
      </c>
      <c r="B43" s="259" t="s">
        <v>134</v>
      </c>
      <c r="C43" s="100">
        <f t="shared" si="17"/>
        <v>0</v>
      </c>
      <c r="D43" s="109">
        <v>0</v>
      </c>
      <c r="E43" s="257"/>
      <c r="F43" s="257"/>
      <c r="G43" s="258"/>
      <c r="H43" s="104">
        <f t="shared" si="18"/>
        <v>0</v>
      </c>
      <c r="I43" s="105"/>
      <c r="J43" s="107"/>
      <c r="K43" s="107">
        <v>0</v>
      </c>
      <c r="L43" s="104">
        <f t="shared" si="19"/>
        <v>10.401886173660852</v>
      </c>
      <c r="M43" s="107"/>
      <c r="N43" s="107"/>
      <c r="O43" s="107"/>
      <c r="P43" s="103"/>
      <c r="Q43" s="257">
        <v>0.35</v>
      </c>
      <c r="R43" s="257"/>
      <c r="S43" s="257">
        <v>3.5064015839999998</v>
      </c>
      <c r="T43" s="257">
        <v>4.9574845896608508</v>
      </c>
      <c r="U43" s="257">
        <v>1.5880000000000001</v>
      </c>
      <c r="V43" s="257">
        <v>0</v>
      </c>
      <c r="W43" s="257"/>
      <c r="X43" s="105"/>
      <c r="Y43" s="103"/>
      <c r="Z43" s="107"/>
      <c r="AA43" s="110">
        <v>42.673359021240742</v>
      </c>
      <c r="AB43" s="108">
        <f t="shared" si="20"/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49.84418840711043</v>
      </c>
      <c r="AP43" s="108"/>
      <c r="AQ43" s="111">
        <f t="shared" si="16"/>
        <v>102.91943360201202</v>
      </c>
    </row>
    <row r="44" spans="1:44" ht="12.75" customHeight="1">
      <c r="A44" s="261" t="s">
        <v>169</v>
      </c>
      <c r="B44" s="262" t="s">
        <v>170</v>
      </c>
      <c r="C44" s="164">
        <f>SUM(D44:G44)</f>
        <v>0</v>
      </c>
      <c r="D44" s="171">
        <v>0</v>
      </c>
      <c r="E44" s="263"/>
      <c r="F44" s="263"/>
      <c r="G44" s="264"/>
      <c r="H44" s="168">
        <f>SUM(I44:K44)</f>
        <v>0</v>
      </c>
      <c r="I44" s="165"/>
      <c r="J44" s="166"/>
      <c r="K44" s="166"/>
      <c r="L44" s="168">
        <f>SUM(M44:Z44)</f>
        <v>38.050642901528427</v>
      </c>
      <c r="M44" s="166"/>
      <c r="N44" s="166"/>
      <c r="O44" s="166"/>
      <c r="P44" s="167"/>
      <c r="Q44" s="263">
        <v>0.83182039642519912</v>
      </c>
      <c r="R44" s="263"/>
      <c r="S44" s="263">
        <v>0</v>
      </c>
      <c r="T44" s="263">
        <v>0.68620483405228982</v>
      </c>
      <c r="U44" s="263">
        <v>36.532617671050936</v>
      </c>
      <c r="V44" s="263">
        <v>0</v>
      </c>
      <c r="W44" s="263"/>
      <c r="X44" s="165"/>
      <c r="Y44" s="167"/>
      <c r="Z44" s="166"/>
      <c r="AA44" s="172">
        <v>3.7565986339022426</v>
      </c>
      <c r="AB44" s="170">
        <f>SUM(AC44:AM44)</f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10.021134818189905</v>
      </c>
      <c r="AP44" s="170"/>
      <c r="AQ44" s="173">
        <f>C44+H44+L44+AA44+AB44+AN44+AO44+AP44</f>
        <v>51.828376353620577</v>
      </c>
    </row>
    <row r="45" spans="1:44" s="11" customFormat="1" ht="12.75" customHeight="1">
      <c r="A45" s="174" t="s">
        <v>135</v>
      </c>
      <c r="B45" s="175"/>
      <c r="C45" s="265">
        <f t="shared" ref="C45:AP45" si="21">SUM(C46:C55)</f>
        <v>0</v>
      </c>
      <c r="D45" s="266">
        <f t="shared" si="21"/>
        <v>0</v>
      </c>
      <c r="E45" s="266">
        <f t="shared" si="21"/>
        <v>0</v>
      </c>
      <c r="F45" s="267">
        <f t="shared" si="21"/>
        <v>0</v>
      </c>
      <c r="G45" s="267">
        <f t="shared" si="21"/>
        <v>0</v>
      </c>
      <c r="H45" s="268">
        <f t="shared" si="21"/>
        <v>0</v>
      </c>
      <c r="I45" s="269">
        <f t="shared" si="21"/>
        <v>0</v>
      </c>
      <c r="J45" s="266">
        <f t="shared" si="21"/>
        <v>0</v>
      </c>
      <c r="K45" s="266">
        <f t="shared" si="21"/>
        <v>0</v>
      </c>
      <c r="L45" s="268">
        <f t="shared" si="21"/>
        <v>5022.406969683203</v>
      </c>
      <c r="M45" s="266">
        <f t="shared" si="21"/>
        <v>0</v>
      </c>
      <c r="N45" s="266">
        <f t="shared" ref="N45" si="22">SUM(N46:N55)</f>
        <v>0</v>
      </c>
      <c r="O45" s="266">
        <f t="shared" si="21"/>
        <v>0</v>
      </c>
      <c r="P45" s="266">
        <f t="shared" si="21"/>
        <v>780.92608129041673</v>
      </c>
      <c r="Q45" s="266">
        <f t="shared" si="21"/>
        <v>0</v>
      </c>
      <c r="R45" s="266">
        <f t="shared" si="21"/>
        <v>1115.6537766794397</v>
      </c>
      <c r="S45" s="266">
        <f t="shared" si="21"/>
        <v>0</v>
      </c>
      <c r="T45" s="266">
        <f t="shared" si="21"/>
        <v>1.6291650130548303</v>
      </c>
      <c r="U45" s="266">
        <f>SUM(U46:U55)</f>
        <v>3124.1979467002911</v>
      </c>
      <c r="V45" s="266">
        <f t="shared" si="21"/>
        <v>0</v>
      </c>
      <c r="W45" s="267">
        <f t="shared" si="21"/>
        <v>0</v>
      </c>
      <c r="X45" s="267">
        <f t="shared" si="21"/>
        <v>0</v>
      </c>
      <c r="Y45" s="267">
        <f t="shared" si="21"/>
        <v>0</v>
      </c>
      <c r="Z45" s="266">
        <f t="shared" si="21"/>
        <v>0</v>
      </c>
      <c r="AA45" s="268">
        <f t="shared" si="21"/>
        <v>17.419296662833837</v>
      </c>
      <c r="AB45" s="271">
        <f t="shared" si="21"/>
        <v>188.08547944814401</v>
      </c>
      <c r="AC45" s="272">
        <f t="shared" si="21"/>
        <v>0</v>
      </c>
      <c r="AD45" s="266">
        <f t="shared" si="21"/>
        <v>0</v>
      </c>
      <c r="AE45" s="266">
        <f t="shared" si="21"/>
        <v>0</v>
      </c>
      <c r="AF45" s="266">
        <f t="shared" ref="AF45" si="23">SUM(AF46:AF55)</f>
        <v>0</v>
      </c>
      <c r="AG45" s="266">
        <f t="shared" si="21"/>
        <v>0</v>
      </c>
      <c r="AH45" s="266">
        <f t="shared" si="21"/>
        <v>0</v>
      </c>
      <c r="AI45" s="266">
        <f t="shared" si="21"/>
        <v>161.89653003302402</v>
      </c>
      <c r="AJ45" s="266">
        <f t="shared" ref="AJ45" si="24">SUM(AJ46:AJ55)</f>
        <v>26.188949415119996</v>
      </c>
      <c r="AK45" s="269">
        <f t="shared" si="21"/>
        <v>0</v>
      </c>
      <c r="AL45" s="267">
        <f t="shared" ref="AL45" si="25">SUM(AL46:AL55)</f>
        <v>0</v>
      </c>
      <c r="AM45" s="266">
        <f t="shared" si="21"/>
        <v>0</v>
      </c>
      <c r="AN45" s="268">
        <f t="shared" si="21"/>
        <v>0</v>
      </c>
      <c r="AO45" s="268">
        <f t="shared" si="21"/>
        <v>6.789153715939535</v>
      </c>
      <c r="AP45" s="271">
        <f t="shared" si="21"/>
        <v>0</v>
      </c>
      <c r="AQ45" s="273">
        <f t="shared" si="16"/>
        <v>5234.7008995101196</v>
      </c>
      <c r="AR45" s="7"/>
    </row>
    <row r="46" spans="1:44" ht="12.75" customHeight="1">
      <c r="A46" s="274" t="s">
        <v>136</v>
      </c>
      <c r="B46" s="150"/>
      <c r="C46" s="151">
        <f t="shared" ref="C46:C64" si="26">SUM(D46:G46)</f>
        <v>0</v>
      </c>
      <c r="D46" s="275"/>
      <c r="E46" s="202"/>
      <c r="F46" s="154"/>
      <c r="G46" s="154"/>
      <c r="H46" s="155">
        <f t="shared" ref="H46:H64" si="27">SUM(I46:K46)</f>
        <v>0</v>
      </c>
      <c r="I46" s="152"/>
      <c r="J46" s="153"/>
      <c r="K46" s="153"/>
      <c r="L46" s="155">
        <f t="shared" ref="L46:L64" si="28">SUM(M46:Z46)</f>
        <v>748.37704629118366</v>
      </c>
      <c r="M46" s="153"/>
      <c r="N46" s="153"/>
      <c r="O46" s="153"/>
      <c r="P46" s="153"/>
      <c r="Q46" s="153"/>
      <c r="R46" s="153"/>
      <c r="S46" s="153"/>
      <c r="T46" s="153"/>
      <c r="U46" s="153">
        <v>748.37704629118366</v>
      </c>
      <c r="V46" s="153"/>
      <c r="W46" s="154"/>
      <c r="X46" s="154"/>
      <c r="Y46" s="154"/>
      <c r="Z46" s="153"/>
      <c r="AA46" s="159">
        <v>0.40482290195599996</v>
      </c>
      <c r="AB46" s="157">
        <f t="shared" ref="AB46:AB56" si="29">SUM(AC46:AM46)</f>
        <v>40.453753708816322</v>
      </c>
      <c r="AC46" s="158"/>
      <c r="AD46" s="153"/>
      <c r="AE46" s="153"/>
      <c r="AF46" s="153"/>
      <c r="AG46" s="153"/>
      <c r="AH46" s="153"/>
      <c r="AI46" s="153">
        <v>40.453753708816322</v>
      </c>
      <c r="AJ46" s="153">
        <v>0</v>
      </c>
      <c r="AK46" s="152"/>
      <c r="AL46" s="154"/>
      <c r="AM46" s="153"/>
      <c r="AN46" s="155"/>
      <c r="AO46" s="159"/>
      <c r="AP46" s="157"/>
      <c r="AQ46" s="186">
        <f t="shared" si="16"/>
        <v>789.23562290195594</v>
      </c>
    </row>
    <row r="47" spans="1:44" ht="12.75" customHeight="1">
      <c r="A47" s="244" t="s">
        <v>137</v>
      </c>
      <c r="B47" s="276"/>
      <c r="C47" s="100">
        <f t="shared" si="26"/>
        <v>0</v>
      </c>
      <c r="D47" s="277"/>
      <c r="E47" s="278"/>
      <c r="F47" s="252"/>
      <c r="G47" s="252"/>
      <c r="H47" s="104">
        <f t="shared" si="27"/>
        <v>0</v>
      </c>
      <c r="I47" s="250"/>
      <c r="J47" s="161"/>
      <c r="K47" s="161"/>
      <c r="L47" s="249">
        <f t="shared" si="28"/>
        <v>316.75405182730395</v>
      </c>
      <c r="M47" s="161"/>
      <c r="N47" s="161"/>
      <c r="O47" s="161"/>
      <c r="P47" s="161"/>
      <c r="Q47" s="161"/>
      <c r="R47" s="161"/>
      <c r="S47" s="161"/>
      <c r="T47" s="161"/>
      <c r="U47" s="161">
        <v>316.75405182730395</v>
      </c>
      <c r="V47" s="161"/>
      <c r="W47" s="252"/>
      <c r="X47" s="252"/>
      <c r="Y47" s="252"/>
      <c r="Z47" s="161"/>
      <c r="AA47" s="260"/>
      <c r="AB47" s="253">
        <f t="shared" si="29"/>
        <v>17.122238666183886</v>
      </c>
      <c r="AC47" s="254"/>
      <c r="AD47" s="161"/>
      <c r="AE47" s="161"/>
      <c r="AF47" s="161"/>
      <c r="AG47" s="161"/>
      <c r="AH47" s="161"/>
      <c r="AI47" s="161">
        <v>17.122238666183886</v>
      </c>
      <c r="AJ47" s="161">
        <v>0</v>
      </c>
      <c r="AK47" s="250"/>
      <c r="AL47" s="252"/>
      <c r="AM47" s="161"/>
      <c r="AN47" s="249"/>
      <c r="AO47" s="260"/>
      <c r="AP47" s="253"/>
      <c r="AQ47" s="160">
        <f t="shared" si="16"/>
        <v>333.87629049348783</v>
      </c>
    </row>
    <row r="48" spans="1:44" ht="12.75" customHeight="1">
      <c r="A48" s="255" t="s">
        <v>138</v>
      </c>
      <c r="B48" s="99"/>
      <c r="C48" s="100">
        <f t="shared" si="26"/>
        <v>0</v>
      </c>
      <c r="D48" s="101"/>
      <c r="E48" s="112"/>
      <c r="F48" s="103"/>
      <c r="G48" s="103"/>
      <c r="H48" s="104">
        <f t="shared" si="27"/>
        <v>0</v>
      </c>
      <c r="I48" s="105"/>
      <c r="J48" s="107"/>
      <c r="K48" s="107"/>
      <c r="L48" s="104">
        <f t="shared" si="28"/>
        <v>1982.9140226370646</v>
      </c>
      <c r="M48" s="107"/>
      <c r="N48" s="107"/>
      <c r="O48" s="107"/>
      <c r="P48" s="107">
        <v>622.68033431861272</v>
      </c>
      <c r="Q48" s="107"/>
      <c r="R48" s="107"/>
      <c r="S48" s="107"/>
      <c r="T48" s="107">
        <v>1.6291650130548303</v>
      </c>
      <c r="U48" s="107">
        <v>1358.6045233053969</v>
      </c>
      <c r="V48" s="107"/>
      <c r="W48" s="103"/>
      <c r="X48" s="103"/>
      <c r="Y48" s="103"/>
      <c r="Z48" s="107"/>
      <c r="AA48" s="110"/>
      <c r="AB48" s="108">
        <f t="shared" si="29"/>
        <v>94.341885956175844</v>
      </c>
      <c r="AC48" s="109"/>
      <c r="AD48" s="107"/>
      <c r="AE48" s="107"/>
      <c r="AF48" s="107"/>
      <c r="AG48" s="107"/>
      <c r="AH48" s="107"/>
      <c r="AI48" s="107">
        <v>73.439789536377461</v>
      </c>
      <c r="AJ48" s="107">
        <v>20.902096419798376</v>
      </c>
      <c r="AK48" s="105"/>
      <c r="AL48" s="103"/>
      <c r="AM48" s="107"/>
      <c r="AN48" s="104"/>
      <c r="AO48" s="110">
        <v>2.331271905939535</v>
      </c>
      <c r="AP48" s="108"/>
      <c r="AQ48" s="111">
        <f t="shared" si="16"/>
        <v>2079.5871804991798</v>
      </c>
    </row>
    <row r="49" spans="1:44" ht="12.75" customHeight="1">
      <c r="A49" s="255" t="s">
        <v>139</v>
      </c>
      <c r="B49" s="99"/>
      <c r="C49" s="100">
        <f t="shared" si="26"/>
        <v>0</v>
      </c>
      <c r="D49" s="101"/>
      <c r="E49" s="112"/>
      <c r="F49" s="103"/>
      <c r="G49" s="103"/>
      <c r="H49" s="104">
        <f t="shared" si="27"/>
        <v>0</v>
      </c>
      <c r="I49" s="105"/>
      <c r="J49" s="107"/>
      <c r="K49" s="107"/>
      <c r="L49" s="104">
        <f t="shared" si="28"/>
        <v>131.61403340217319</v>
      </c>
      <c r="M49" s="107"/>
      <c r="N49" s="107"/>
      <c r="O49" s="107"/>
      <c r="P49" s="107">
        <v>4.0527672383008335</v>
      </c>
      <c r="Q49" s="107"/>
      <c r="R49" s="107"/>
      <c r="S49" s="107"/>
      <c r="T49" s="107"/>
      <c r="U49" s="107">
        <v>127.56126616387235</v>
      </c>
      <c r="V49" s="107"/>
      <c r="W49" s="103"/>
      <c r="X49" s="103"/>
      <c r="Y49" s="103"/>
      <c r="Z49" s="107"/>
      <c r="AA49" s="110"/>
      <c r="AB49" s="108">
        <f t="shared" si="29"/>
        <v>7.0314069169473807</v>
      </c>
      <c r="AC49" s="109"/>
      <c r="AD49" s="107"/>
      <c r="AE49" s="107"/>
      <c r="AF49" s="107"/>
      <c r="AG49" s="107"/>
      <c r="AH49" s="107"/>
      <c r="AI49" s="107">
        <v>6.8953638673870277</v>
      </c>
      <c r="AJ49" s="107">
        <v>0.13604304956035268</v>
      </c>
      <c r="AK49" s="105"/>
      <c r="AL49" s="103"/>
      <c r="AM49" s="107"/>
      <c r="AN49" s="104"/>
      <c r="AO49" s="110"/>
      <c r="AP49" s="108"/>
      <c r="AQ49" s="111">
        <f t="shared" si="16"/>
        <v>138.64544031912058</v>
      </c>
    </row>
    <row r="50" spans="1:44" ht="12.75" customHeight="1">
      <c r="A50" s="255" t="s">
        <v>140</v>
      </c>
      <c r="B50" s="99"/>
      <c r="C50" s="100">
        <f t="shared" si="26"/>
        <v>0</v>
      </c>
      <c r="D50" s="101"/>
      <c r="E50" s="112"/>
      <c r="F50" s="103"/>
      <c r="G50" s="103"/>
      <c r="H50" s="104">
        <f t="shared" si="27"/>
        <v>0</v>
      </c>
      <c r="I50" s="105"/>
      <c r="J50" s="107"/>
      <c r="K50" s="107"/>
      <c r="L50" s="104">
        <f t="shared" si="28"/>
        <v>39.810128252916314</v>
      </c>
      <c r="M50" s="107"/>
      <c r="N50" s="107"/>
      <c r="O50" s="107"/>
      <c r="P50" s="107"/>
      <c r="Q50" s="107"/>
      <c r="R50" s="279"/>
      <c r="S50" s="107"/>
      <c r="T50" s="107"/>
      <c r="U50" s="107">
        <v>39.810128252916314</v>
      </c>
      <c r="V50" s="107"/>
      <c r="W50" s="103"/>
      <c r="X50" s="103"/>
      <c r="Y50" s="103"/>
      <c r="Z50" s="107"/>
      <c r="AA50" s="110"/>
      <c r="AB50" s="108">
        <f t="shared" si="29"/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4.4578818099999999</v>
      </c>
      <c r="AP50" s="108"/>
      <c r="AQ50" s="111">
        <f t="shared" si="16"/>
        <v>44.268010062916318</v>
      </c>
    </row>
    <row r="51" spans="1:44" ht="12.75" customHeight="1">
      <c r="A51" s="255" t="s">
        <v>141</v>
      </c>
      <c r="B51" s="99"/>
      <c r="C51" s="100">
        <f t="shared" si="26"/>
        <v>0</v>
      </c>
      <c r="D51" s="101"/>
      <c r="E51" s="112"/>
      <c r="F51" s="103"/>
      <c r="G51" s="103"/>
      <c r="H51" s="104">
        <f t="shared" si="27"/>
        <v>0</v>
      </c>
      <c r="I51" s="105"/>
      <c r="J51" s="107"/>
      <c r="K51" s="107"/>
      <c r="L51" s="104">
        <f t="shared" si="28"/>
        <v>5.9928633675724274</v>
      </c>
      <c r="M51" s="107"/>
      <c r="N51" s="107"/>
      <c r="O51" s="107"/>
      <c r="P51" s="107">
        <v>0.74865555555555552</v>
      </c>
      <c r="Q51" s="107"/>
      <c r="R51" s="107">
        <v>5.2442078120168718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f t="shared" si="29"/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f t="shared" si="16"/>
        <v>5.9928633675724274</v>
      </c>
    </row>
    <row r="52" spans="1:44" ht="12.75" customHeight="1">
      <c r="A52" s="255" t="s">
        <v>142</v>
      </c>
      <c r="B52" s="259"/>
      <c r="C52" s="280">
        <f t="shared" si="26"/>
        <v>0</v>
      </c>
      <c r="D52" s="279"/>
      <c r="E52" s="279"/>
      <c r="F52" s="281"/>
      <c r="G52" s="281"/>
      <c r="H52" s="282">
        <f t="shared" si="27"/>
        <v>0</v>
      </c>
      <c r="I52" s="283"/>
      <c r="J52" s="279"/>
      <c r="K52" s="279"/>
      <c r="L52" s="282">
        <f t="shared" si="28"/>
        <v>1110.4095688674229</v>
      </c>
      <c r="M52" s="279"/>
      <c r="N52" s="279"/>
      <c r="O52" s="279"/>
      <c r="P52" s="161"/>
      <c r="Q52" s="279"/>
      <c r="R52" s="279">
        <v>1110.4095688674229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f t="shared" si="29"/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f t="shared" si="16"/>
        <v>1110.4095688674229</v>
      </c>
    </row>
    <row r="53" spans="1:44" ht="12.75" customHeight="1">
      <c r="A53" s="255" t="s">
        <v>143</v>
      </c>
      <c r="B53" s="259"/>
      <c r="C53" s="280">
        <f t="shared" si="26"/>
        <v>0</v>
      </c>
      <c r="D53" s="283"/>
      <c r="E53" s="279"/>
      <c r="F53" s="281"/>
      <c r="G53" s="281"/>
      <c r="H53" s="282">
        <f t="shared" si="27"/>
        <v>0</v>
      </c>
      <c r="I53" s="283"/>
      <c r="J53" s="279"/>
      <c r="K53" s="279"/>
      <c r="L53" s="282">
        <f t="shared" si="28"/>
        <v>232.93569286014326</v>
      </c>
      <c r="M53" s="279"/>
      <c r="N53" s="279"/>
      <c r="O53" s="279"/>
      <c r="P53" s="279">
        <v>3.0020492303501669</v>
      </c>
      <c r="Q53" s="279"/>
      <c r="R53" s="279"/>
      <c r="S53" s="279"/>
      <c r="T53" s="279"/>
      <c r="U53" s="279">
        <v>229.9336436297931</v>
      </c>
      <c r="V53" s="279"/>
      <c r="W53" s="281"/>
      <c r="X53" s="281"/>
      <c r="Y53" s="281"/>
      <c r="Z53" s="279"/>
      <c r="AA53" s="260"/>
      <c r="AB53" s="285">
        <f t="shared" si="29"/>
        <v>12.529907141650192</v>
      </c>
      <c r="AC53" s="286"/>
      <c r="AD53" s="279"/>
      <c r="AE53" s="279"/>
      <c r="AF53" s="279"/>
      <c r="AG53" s="279"/>
      <c r="AH53" s="279"/>
      <c r="AI53" s="107">
        <v>12.429134531674601</v>
      </c>
      <c r="AJ53" s="107">
        <v>0.10077260997559184</v>
      </c>
      <c r="AK53" s="279"/>
      <c r="AL53" s="279"/>
      <c r="AM53" s="279"/>
      <c r="AN53" s="260"/>
      <c r="AO53" s="110"/>
      <c r="AP53" s="285"/>
      <c r="AQ53" s="287">
        <f t="shared" si="16"/>
        <v>245.46560000179346</v>
      </c>
    </row>
    <row r="54" spans="1:44" ht="12.75" customHeight="1">
      <c r="A54" s="98" t="s">
        <v>144</v>
      </c>
      <c r="B54" s="99"/>
      <c r="C54" s="280">
        <f t="shared" si="26"/>
        <v>0</v>
      </c>
      <c r="D54" s="283"/>
      <c r="E54" s="279"/>
      <c r="F54" s="281"/>
      <c r="G54" s="281"/>
      <c r="H54" s="282">
        <f t="shared" si="27"/>
        <v>0</v>
      </c>
      <c r="I54" s="283"/>
      <c r="J54" s="279"/>
      <c r="K54" s="279"/>
      <c r="L54" s="282">
        <f t="shared" si="28"/>
        <v>89.371637180087745</v>
      </c>
      <c r="M54" s="279"/>
      <c r="N54" s="279"/>
      <c r="O54" s="279"/>
      <c r="P54" s="279"/>
      <c r="Q54" s="279"/>
      <c r="R54" s="279"/>
      <c r="S54" s="279"/>
      <c r="T54" s="279"/>
      <c r="U54" s="279">
        <v>89.371637180087745</v>
      </c>
      <c r="V54" s="279"/>
      <c r="W54" s="281"/>
      <c r="X54" s="281"/>
      <c r="Y54" s="281"/>
      <c r="Z54" s="279"/>
      <c r="AA54" s="212"/>
      <c r="AB54" s="285">
        <f t="shared" si="29"/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f t="shared" si="16"/>
        <v>89.371637180087745</v>
      </c>
    </row>
    <row r="55" spans="1:44" ht="12.75" customHeight="1">
      <c r="A55" s="162" t="s">
        <v>145</v>
      </c>
      <c r="B55" s="163"/>
      <c r="C55" s="164">
        <f t="shared" si="26"/>
        <v>0</v>
      </c>
      <c r="D55" s="288"/>
      <c r="E55" s="289"/>
      <c r="F55" s="167"/>
      <c r="G55" s="167"/>
      <c r="H55" s="168">
        <f t="shared" si="27"/>
        <v>0</v>
      </c>
      <c r="I55" s="165"/>
      <c r="J55" s="166"/>
      <c r="K55" s="166"/>
      <c r="L55" s="168">
        <f t="shared" si="28"/>
        <v>364.2279249973343</v>
      </c>
      <c r="M55" s="166"/>
      <c r="N55" s="166"/>
      <c r="O55" s="166"/>
      <c r="P55" s="166">
        <v>150.4422749475975</v>
      </c>
      <c r="Q55" s="166"/>
      <c r="R55" s="166"/>
      <c r="S55" s="166">
        <v>0</v>
      </c>
      <c r="T55" s="166"/>
      <c r="U55" s="166">
        <v>213.7856500497368</v>
      </c>
      <c r="V55" s="166"/>
      <c r="W55" s="167"/>
      <c r="X55" s="167"/>
      <c r="Y55" s="167"/>
      <c r="Z55" s="166"/>
      <c r="AA55" s="172">
        <v>17.014473760877838</v>
      </c>
      <c r="AB55" s="170">
        <f t="shared" si="29"/>
        <v>16.606287058370373</v>
      </c>
      <c r="AC55" s="171"/>
      <c r="AD55" s="166"/>
      <c r="AE55" s="166"/>
      <c r="AF55" s="166"/>
      <c r="AG55" s="166"/>
      <c r="AH55" s="166"/>
      <c r="AI55" s="166">
        <v>11.556249722584699</v>
      </c>
      <c r="AJ55" s="166">
        <v>5.0500373357856754</v>
      </c>
      <c r="AK55" s="165"/>
      <c r="AL55" s="167"/>
      <c r="AM55" s="166"/>
      <c r="AN55" s="168"/>
      <c r="AO55" s="172"/>
      <c r="AP55" s="170"/>
      <c r="AQ55" s="173">
        <f t="shared" si="16"/>
        <v>397.84868581658247</v>
      </c>
    </row>
    <row r="56" spans="1:44" s="11" customFormat="1" ht="12.75" customHeight="1">
      <c r="A56" s="290" t="s">
        <v>146</v>
      </c>
      <c r="B56" s="291"/>
      <c r="C56" s="292">
        <f t="shared" si="26"/>
        <v>186.10443913389656</v>
      </c>
      <c r="D56" s="293">
        <v>88.776008773381392</v>
      </c>
      <c r="E56" s="102">
        <v>88.256941951509248</v>
      </c>
      <c r="F56" s="294"/>
      <c r="G56" s="294">
        <v>9.0714884090059194</v>
      </c>
      <c r="H56" s="295">
        <f t="shared" si="27"/>
        <v>183.49320499999999</v>
      </c>
      <c r="I56" s="293"/>
      <c r="J56" s="184">
        <v>127.70399999999999</v>
      </c>
      <c r="K56" s="184">
        <v>55.789205000000003</v>
      </c>
      <c r="L56" s="295">
        <f t="shared" si="28"/>
        <v>1239.9315606380669</v>
      </c>
      <c r="M56" s="184"/>
      <c r="N56" s="184"/>
      <c r="O56" s="184"/>
      <c r="P56" s="184">
        <v>0</v>
      </c>
      <c r="Q56" s="184">
        <v>841.81851290405484</v>
      </c>
      <c r="R56" s="184"/>
      <c r="S56" s="184">
        <v>0</v>
      </c>
      <c r="T56" s="184">
        <v>50.020612917840218</v>
      </c>
      <c r="U56" s="184">
        <v>344.60887370583782</v>
      </c>
      <c r="V56" s="184">
        <v>3.4835611103340964</v>
      </c>
      <c r="W56" s="294"/>
      <c r="X56" s="294"/>
      <c r="Y56" s="294"/>
      <c r="Z56" s="184"/>
      <c r="AA56" s="295">
        <v>591.35700114828694</v>
      </c>
      <c r="AB56" s="297">
        <f t="shared" si="29"/>
        <v>75.270295932702496</v>
      </c>
      <c r="AC56" s="298"/>
      <c r="AD56" s="184"/>
      <c r="AE56" s="184">
        <v>25.456791773706627</v>
      </c>
      <c r="AF56" s="184"/>
      <c r="AG56" s="184"/>
      <c r="AH56" s="184"/>
      <c r="AI56" s="184"/>
      <c r="AJ56" s="184"/>
      <c r="AK56" s="293"/>
      <c r="AL56" s="294">
        <v>13.524083223013008</v>
      </c>
      <c r="AM56" s="184">
        <v>36.289420935982861</v>
      </c>
      <c r="AN56" s="295"/>
      <c r="AO56" s="295">
        <v>699.43373673658175</v>
      </c>
      <c r="AP56" s="297"/>
      <c r="AQ56" s="185">
        <f t="shared" si="16"/>
        <v>2975.5902385895351</v>
      </c>
      <c r="AR56" s="7"/>
    </row>
    <row r="57" spans="1:44" s="11" customFormat="1" ht="12.75" customHeight="1">
      <c r="A57" s="290" t="s">
        <v>171</v>
      </c>
      <c r="B57" s="291"/>
      <c r="C57" s="292">
        <f>C58+C65</f>
        <v>0.40093969924812034</v>
      </c>
      <c r="D57" s="184">
        <f t="shared" ref="D57:AP57" si="30">D58+D65</f>
        <v>0.40093969924812034</v>
      </c>
      <c r="E57" s="184">
        <f t="shared" si="30"/>
        <v>0</v>
      </c>
      <c r="F57" s="294">
        <f t="shared" si="30"/>
        <v>0</v>
      </c>
      <c r="G57" s="294">
        <f t="shared" si="30"/>
        <v>0</v>
      </c>
      <c r="H57" s="295">
        <f t="shared" si="30"/>
        <v>0</v>
      </c>
      <c r="I57" s="293">
        <f t="shared" si="30"/>
        <v>0</v>
      </c>
      <c r="J57" s="293">
        <f t="shared" si="30"/>
        <v>0</v>
      </c>
      <c r="K57" s="293">
        <f t="shared" si="30"/>
        <v>0</v>
      </c>
      <c r="L57" s="295">
        <f t="shared" si="30"/>
        <v>223.02105569085765</v>
      </c>
      <c r="M57" s="184">
        <f t="shared" si="30"/>
        <v>0</v>
      </c>
      <c r="N57" s="184">
        <f t="shared" si="30"/>
        <v>0</v>
      </c>
      <c r="O57" s="184">
        <f t="shared" si="30"/>
        <v>0</v>
      </c>
      <c r="P57" s="184">
        <f t="shared" si="30"/>
        <v>0</v>
      </c>
      <c r="Q57" s="184">
        <f t="shared" si="30"/>
        <v>62.813000000000002</v>
      </c>
      <c r="R57" s="184">
        <f t="shared" si="30"/>
        <v>0</v>
      </c>
      <c r="S57" s="184">
        <f t="shared" si="30"/>
        <v>0.2093031229578676</v>
      </c>
      <c r="T57" s="184">
        <f t="shared" si="30"/>
        <v>70.691752567899783</v>
      </c>
      <c r="U57" s="184">
        <f t="shared" si="30"/>
        <v>89.306999999999988</v>
      </c>
      <c r="V57" s="184">
        <f t="shared" si="30"/>
        <v>0</v>
      </c>
      <c r="W57" s="294">
        <f t="shared" si="30"/>
        <v>0</v>
      </c>
      <c r="X57" s="294">
        <f t="shared" si="30"/>
        <v>0</v>
      </c>
      <c r="Y57" s="294">
        <f t="shared" si="30"/>
        <v>0</v>
      </c>
      <c r="Z57" s="293">
        <f t="shared" si="30"/>
        <v>0</v>
      </c>
      <c r="AA57" s="295">
        <f t="shared" si="30"/>
        <v>337.27558843766866</v>
      </c>
      <c r="AB57" s="297">
        <f t="shared" si="30"/>
        <v>36.757389162011165</v>
      </c>
      <c r="AC57" s="298">
        <f t="shared" si="30"/>
        <v>0</v>
      </c>
      <c r="AD57" s="184">
        <f t="shared" si="30"/>
        <v>0</v>
      </c>
      <c r="AE57" s="184">
        <f t="shared" si="30"/>
        <v>14.007063273767997</v>
      </c>
      <c r="AF57" s="184">
        <f t="shared" si="30"/>
        <v>0</v>
      </c>
      <c r="AG57" s="184">
        <f t="shared" si="30"/>
        <v>0</v>
      </c>
      <c r="AH57" s="184">
        <f t="shared" si="30"/>
        <v>6.3103276864105924</v>
      </c>
      <c r="AI57" s="184">
        <f t="shared" si="30"/>
        <v>0</v>
      </c>
      <c r="AJ57" s="184">
        <f t="shared" si="30"/>
        <v>0</v>
      </c>
      <c r="AK57" s="184">
        <f t="shared" si="30"/>
        <v>0</v>
      </c>
      <c r="AL57" s="184">
        <f t="shared" si="30"/>
        <v>0.16649466165720572</v>
      </c>
      <c r="AM57" s="293">
        <f t="shared" si="30"/>
        <v>16.273503540175366</v>
      </c>
      <c r="AN57" s="295">
        <f t="shared" si="30"/>
        <v>0</v>
      </c>
      <c r="AO57" s="295">
        <f t="shared" si="30"/>
        <v>1118.1358379003605</v>
      </c>
      <c r="AP57" s="297">
        <f t="shared" si="30"/>
        <v>0</v>
      </c>
      <c r="AQ57" s="299">
        <f t="shared" si="16"/>
        <v>1715.590810890146</v>
      </c>
      <c r="AR57" s="7"/>
    </row>
    <row r="58" spans="1:44" s="11" customFormat="1" ht="12.75" customHeight="1">
      <c r="A58" s="290" t="s">
        <v>172</v>
      </c>
      <c r="B58" s="291"/>
      <c r="C58" s="292">
        <f t="shared" si="26"/>
        <v>0.39794015037593988</v>
      </c>
      <c r="D58" s="298">
        <v>0.39794015037593988</v>
      </c>
      <c r="E58" s="297">
        <v>0</v>
      </c>
      <c r="F58" s="297">
        <f>SUM(F59:F64)</f>
        <v>0</v>
      </c>
      <c r="G58" s="300">
        <v>0</v>
      </c>
      <c r="H58" s="295">
        <f t="shared" si="27"/>
        <v>0</v>
      </c>
      <c r="I58" s="293">
        <f>SUM(I59:I64)</f>
        <v>0</v>
      </c>
      <c r="J58" s="293">
        <f>SUM(J59:J64)</f>
        <v>0</v>
      </c>
      <c r="K58" s="293">
        <f>SUM(K59:K64)</f>
        <v>0</v>
      </c>
      <c r="L58" s="295">
        <f t="shared" si="28"/>
        <v>104.97002542041611</v>
      </c>
      <c r="M58" s="184">
        <f t="shared" ref="M58:AJ58" si="31">SUM(M59:M64)</f>
        <v>0</v>
      </c>
      <c r="N58" s="294">
        <f t="shared" si="31"/>
        <v>0</v>
      </c>
      <c r="O58" s="294">
        <f t="shared" si="31"/>
        <v>0</v>
      </c>
      <c r="P58" s="297">
        <f t="shared" si="31"/>
        <v>0</v>
      </c>
      <c r="Q58" s="297">
        <v>18.247</v>
      </c>
      <c r="R58" s="297">
        <f t="shared" si="31"/>
        <v>0</v>
      </c>
      <c r="S58" s="297">
        <v>0</v>
      </c>
      <c r="T58" s="297">
        <v>45.311025420416122</v>
      </c>
      <c r="U58" s="297">
        <v>41.411999999999992</v>
      </c>
      <c r="V58" s="297">
        <f t="shared" si="31"/>
        <v>0</v>
      </c>
      <c r="W58" s="297">
        <f t="shared" si="31"/>
        <v>0</v>
      </c>
      <c r="X58" s="297">
        <f t="shared" si="31"/>
        <v>0</v>
      </c>
      <c r="Y58" s="294">
        <f t="shared" si="31"/>
        <v>0</v>
      </c>
      <c r="Z58" s="293">
        <f t="shared" si="31"/>
        <v>0</v>
      </c>
      <c r="AA58" s="295">
        <v>210.92253952116275</v>
      </c>
      <c r="AB58" s="297">
        <f t="shared" ref="AB58:AB71" si="32">SUM(AC58:AM58)</f>
        <v>20.431425609766706</v>
      </c>
      <c r="AC58" s="298">
        <f t="shared" si="31"/>
        <v>0</v>
      </c>
      <c r="AD58" s="184">
        <f t="shared" si="31"/>
        <v>0</v>
      </c>
      <c r="AE58" s="184">
        <f t="shared" si="31"/>
        <v>3.1189386535341326</v>
      </c>
      <c r="AF58" s="184"/>
      <c r="AG58" s="184">
        <f t="shared" si="31"/>
        <v>0</v>
      </c>
      <c r="AH58" s="184">
        <f t="shared" si="31"/>
        <v>0.87248875439999996</v>
      </c>
      <c r="AI58" s="184">
        <f t="shared" si="31"/>
        <v>0</v>
      </c>
      <c r="AJ58" s="184">
        <f t="shared" si="31"/>
        <v>0</v>
      </c>
      <c r="AK58" s="184"/>
      <c r="AL58" s="184">
        <v>0.16649466165720572</v>
      </c>
      <c r="AM58" s="294">
        <v>16.273503540175366</v>
      </c>
      <c r="AN58" s="295">
        <f t="shared" ref="AN58" si="33">SUM(AN59:AN64)</f>
        <v>0</v>
      </c>
      <c r="AO58" s="295">
        <v>850.71541364957784</v>
      </c>
      <c r="AP58" s="297">
        <f t="shared" ref="AP58" si="34">SUM(AP59:AP64)</f>
        <v>0</v>
      </c>
      <c r="AQ58" s="299">
        <f t="shared" si="16"/>
        <v>1187.4373443512993</v>
      </c>
      <c r="AR58" s="7"/>
    </row>
    <row r="59" spans="1:44" s="11" customFormat="1" ht="12.75" customHeight="1">
      <c r="A59" s="98" t="s">
        <v>173</v>
      </c>
      <c r="B59" s="302" t="s">
        <v>174</v>
      </c>
      <c r="C59" s="151">
        <f t="shared" si="26"/>
        <v>1.9996992481203005E-3</v>
      </c>
      <c r="D59" s="109">
        <v>1.9996992481203005E-3</v>
      </c>
      <c r="E59" s="157"/>
      <c r="F59" s="157"/>
      <c r="G59" s="200"/>
      <c r="H59" s="155">
        <f t="shared" si="27"/>
        <v>0</v>
      </c>
      <c r="I59" s="275"/>
      <c r="J59" s="275"/>
      <c r="K59" s="275"/>
      <c r="L59" s="155">
        <f t="shared" si="28"/>
        <v>28.059253705027771</v>
      </c>
      <c r="M59" s="202"/>
      <c r="N59" s="304"/>
      <c r="O59" s="304"/>
      <c r="P59" s="157"/>
      <c r="Q59" s="257">
        <v>5.9740000000000002</v>
      </c>
      <c r="R59" s="157"/>
      <c r="S59" s="257">
        <v>0</v>
      </c>
      <c r="T59" s="257">
        <v>12.192253705027772</v>
      </c>
      <c r="U59" s="257">
        <v>9.8930000000000007</v>
      </c>
      <c r="V59" s="257">
        <v>0</v>
      </c>
      <c r="W59" s="157"/>
      <c r="X59" s="157"/>
      <c r="Y59" s="304"/>
      <c r="Z59" s="275"/>
      <c r="AA59" s="110">
        <v>53.47297808575852</v>
      </c>
      <c r="AB59" s="157">
        <f t="shared" si="32"/>
        <v>0.78441003446442359</v>
      </c>
      <c r="AC59" s="305"/>
      <c r="AD59" s="202"/>
      <c r="AE59" s="153">
        <v>0.78441003446442359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223.95503288939349</v>
      </c>
      <c r="AP59" s="157"/>
      <c r="AQ59" s="186">
        <f t="shared" si="16"/>
        <v>306.27367441389231</v>
      </c>
      <c r="AR59" s="7"/>
    </row>
    <row r="60" spans="1:44" s="11" customFormat="1" ht="12.75" customHeight="1">
      <c r="A60" s="98" t="s">
        <v>175</v>
      </c>
      <c r="B60" s="302" t="s">
        <v>176</v>
      </c>
      <c r="C60" s="100">
        <f t="shared" si="26"/>
        <v>5.9990977443609029E-3</v>
      </c>
      <c r="D60" s="109">
        <v>5.9990977443609029E-3</v>
      </c>
      <c r="E60" s="108"/>
      <c r="F60" s="108"/>
      <c r="G60" s="306"/>
      <c r="H60" s="104">
        <f t="shared" si="27"/>
        <v>0</v>
      </c>
      <c r="I60" s="101"/>
      <c r="J60" s="101"/>
      <c r="K60" s="101"/>
      <c r="L60" s="104">
        <f t="shared" si="28"/>
        <v>23.009622988348113</v>
      </c>
      <c r="M60" s="112"/>
      <c r="N60" s="102"/>
      <c r="O60" s="102"/>
      <c r="P60" s="108"/>
      <c r="Q60" s="257">
        <v>4.141</v>
      </c>
      <c r="R60" s="108"/>
      <c r="S60" s="257">
        <v>0</v>
      </c>
      <c r="T60" s="257">
        <v>3.3886229883481134</v>
      </c>
      <c r="U60" s="257">
        <v>15.48</v>
      </c>
      <c r="V60" s="257">
        <v>0</v>
      </c>
      <c r="W60" s="108"/>
      <c r="X60" s="108"/>
      <c r="Y60" s="102"/>
      <c r="Z60" s="101"/>
      <c r="AA60" s="110">
        <v>19.701670707113234</v>
      </c>
      <c r="AB60" s="108">
        <f t="shared" si="32"/>
        <v>2.7696552104321263E-2</v>
      </c>
      <c r="AC60" s="308"/>
      <c r="AD60" s="112"/>
      <c r="AE60" s="107">
        <v>2.7696552104321263E-2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65.522361043248949</v>
      </c>
      <c r="AP60" s="108"/>
      <c r="AQ60" s="111">
        <f t="shared" si="16"/>
        <v>108.26735038855898</v>
      </c>
      <c r="AR60" s="7"/>
    </row>
    <row r="61" spans="1:44" s="11" customFormat="1" ht="12.75" customHeight="1">
      <c r="A61" s="98" t="s">
        <v>177</v>
      </c>
      <c r="B61" s="302" t="s">
        <v>178</v>
      </c>
      <c r="C61" s="100">
        <f t="shared" si="26"/>
        <v>0.37494360902255641</v>
      </c>
      <c r="D61" s="109">
        <v>0.37494360902255641</v>
      </c>
      <c r="E61" s="108"/>
      <c r="F61" s="108"/>
      <c r="G61" s="306"/>
      <c r="H61" s="104">
        <f t="shared" si="27"/>
        <v>0</v>
      </c>
      <c r="I61" s="101"/>
      <c r="J61" s="101"/>
      <c r="K61" s="101"/>
      <c r="L61" s="104">
        <f t="shared" si="28"/>
        <v>31.081443602014417</v>
      </c>
      <c r="M61" s="112"/>
      <c r="N61" s="102"/>
      <c r="O61" s="102"/>
      <c r="P61" s="108"/>
      <c r="Q61" s="257">
        <v>4.0250000000000004</v>
      </c>
      <c r="R61" s="108"/>
      <c r="S61" s="257">
        <v>0</v>
      </c>
      <c r="T61" s="257">
        <v>22.64444360201442</v>
      </c>
      <c r="U61" s="257">
        <v>4.4119999999999999</v>
      </c>
      <c r="V61" s="257">
        <v>0</v>
      </c>
      <c r="W61" s="108"/>
      <c r="X61" s="108"/>
      <c r="Y61" s="102"/>
      <c r="Z61" s="101"/>
      <c r="AA61" s="110">
        <v>37.232766956468069</v>
      </c>
      <c r="AB61" s="108">
        <f t="shared" si="32"/>
        <v>0.75488389259545918</v>
      </c>
      <c r="AC61" s="308"/>
      <c r="AD61" s="112"/>
      <c r="AE61" s="107">
        <v>0.75488389259545918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123.6265582096805</v>
      </c>
      <c r="AP61" s="108"/>
      <c r="AQ61" s="111">
        <f t="shared" si="16"/>
        <v>193.07059626978099</v>
      </c>
      <c r="AR61" s="7"/>
    </row>
    <row r="62" spans="1:44" s="11" customFormat="1" ht="12.75" customHeight="1">
      <c r="A62" s="98" t="s">
        <v>179</v>
      </c>
      <c r="B62" s="302" t="s">
        <v>180</v>
      </c>
      <c r="C62" s="100">
        <f t="shared" si="26"/>
        <v>1.0998345864661654E-2</v>
      </c>
      <c r="D62" s="109">
        <v>1.0998345864661654E-2</v>
      </c>
      <c r="E62" s="108"/>
      <c r="F62" s="108"/>
      <c r="G62" s="306"/>
      <c r="H62" s="104">
        <f t="shared" si="27"/>
        <v>0</v>
      </c>
      <c r="I62" s="101"/>
      <c r="J62" s="101"/>
      <c r="K62" s="101"/>
      <c r="L62" s="104">
        <f t="shared" si="28"/>
        <v>3.299708612636195</v>
      </c>
      <c r="M62" s="112"/>
      <c r="N62" s="102"/>
      <c r="O62" s="102"/>
      <c r="P62" s="108"/>
      <c r="Q62" s="257">
        <v>0.47699999999999998</v>
      </c>
      <c r="R62" s="108"/>
      <c r="S62" s="257">
        <v>0</v>
      </c>
      <c r="T62" s="257">
        <v>0.93570861263619509</v>
      </c>
      <c r="U62" s="257">
        <v>1.887</v>
      </c>
      <c r="V62" s="257">
        <v>0</v>
      </c>
      <c r="W62" s="108"/>
      <c r="X62" s="108"/>
      <c r="Y62" s="102"/>
      <c r="Z62" s="101"/>
      <c r="AA62" s="110">
        <v>19.707063438685303</v>
      </c>
      <c r="AB62" s="108">
        <f t="shared" si="32"/>
        <v>5.5986581704689099E-2</v>
      </c>
      <c r="AC62" s="308"/>
      <c r="AD62" s="112"/>
      <c r="AE62" s="107">
        <v>5.5986581704689099E-2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288.83307099873122</v>
      </c>
      <c r="AP62" s="108"/>
      <c r="AQ62" s="111">
        <f t="shared" si="16"/>
        <v>311.90682797762207</v>
      </c>
      <c r="AR62" s="7"/>
    </row>
    <row r="63" spans="1:44" s="11" customFormat="1" ht="12.75" customHeight="1">
      <c r="A63" s="98" t="s">
        <v>181</v>
      </c>
      <c r="B63" s="302" t="s">
        <v>182</v>
      </c>
      <c r="C63" s="100">
        <f t="shared" si="26"/>
        <v>3.9993984962406011E-3</v>
      </c>
      <c r="D63" s="286">
        <v>3.9993984962406011E-3</v>
      </c>
      <c r="E63" s="108"/>
      <c r="F63" s="108"/>
      <c r="G63" s="306"/>
      <c r="H63" s="104">
        <f t="shared" si="27"/>
        <v>0</v>
      </c>
      <c r="I63" s="101"/>
      <c r="J63" s="101"/>
      <c r="K63" s="101"/>
      <c r="L63" s="104">
        <f t="shared" si="28"/>
        <v>1.1234981306763474</v>
      </c>
      <c r="M63" s="112"/>
      <c r="N63" s="102"/>
      <c r="O63" s="102"/>
      <c r="P63" s="108"/>
      <c r="Q63" s="309">
        <v>0.66700000000000004</v>
      </c>
      <c r="R63" s="108"/>
      <c r="S63" s="309">
        <v>0</v>
      </c>
      <c r="T63" s="309">
        <v>0.12249813067634732</v>
      </c>
      <c r="U63" s="309">
        <v>0.33400000000000002</v>
      </c>
      <c r="V63" s="309">
        <v>0</v>
      </c>
      <c r="W63" s="108"/>
      <c r="X63" s="108"/>
      <c r="Y63" s="102"/>
      <c r="Z63" s="101"/>
      <c r="AA63" s="343">
        <v>12.660785548328626</v>
      </c>
      <c r="AB63" s="108">
        <f t="shared" si="32"/>
        <v>0.33972770821006093</v>
      </c>
      <c r="AC63" s="308"/>
      <c r="AD63" s="112"/>
      <c r="AE63" s="107">
        <v>0.33972770821006093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42.324622888234863</v>
      </c>
      <c r="AP63" s="108"/>
      <c r="AQ63" s="111">
        <f t="shared" si="16"/>
        <v>56.452633673946139</v>
      </c>
      <c r="AR63" s="7"/>
    </row>
    <row r="64" spans="1:44" ht="12.75" customHeight="1">
      <c r="A64" s="162" t="s">
        <v>183</v>
      </c>
      <c r="B64" s="310"/>
      <c r="C64" s="164">
        <f t="shared" si="26"/>
        <v>0</v>
      </c>
      <c r="D64" s="286">
        <v>0</v>
      </c>
      <c r="E64" s="170"/>
      <c r="F64" s="170"/>
      <c r="G64" s="311"/>
      <c r="H64" s="168">
        <f t="shared" si="27"/>
        <v>0</v>
      </c>
      <c r="I64" s="288"/>
      <c r="J64" s="288"/>
      <c r="K64" s="288"/>
      <c r="L64" s="168">
        <f t="shared" si="28"/>
        <v>18.396498381713283</v>
      </c>
      <c r="M64" s="289"/>
      <c r="N64" s="313"/>
      <c r="O64" s="313"/>
      <c r="P64" s="170"/>
      <c r="Q64" s="309">
        <v>2.9630000000000001</v>
      </c>
      <c r="R64" s="170"/>
      <c r="S64" s="309">
        <v>0</v>
      </c>
      <c r="T64" s="309">
        <v>6.0274983817132819</v>
      </c>
      <c r="U64" s="309">
        <v>9.4060000000000006</v>
      </c>
      <c r="V64" s="309">
        <v>0</v>
      </c>
      <c r="W64" s="170"/>
      <c r="X64" s="170"/>
      <c r="Y64" s="313"/>
      <c r="Z64" s="288"/>
      <c r="AA64" s="343">
        <v>68.147274784808985</v>
      </c>
      <c r="AB64" s="170">
        <f t="shared" si="32"/>
        <v>18.468720840687752</v>
      </c>
      <c r="AC64" s="314"/>
      <c r="AD64" s="289"/>
      <c r="AE64" s="166">
        <v>1.1562338844551785</v>
      </c>
      <c r="AF64" s="166"/>
      <c r="AG64" s="166"/>
      <c r="AH64" s="166">
        <v>0.87248875439999996</v>
      </c>
      <c r="AI64" s="166"/>
      <c r="AJ64" s="166"/>
      <c r="AK64" s="166"/>
      <c r="AL64" s="166">
        <v>0.16649466165720572</v>
      </c>
      <c r="AM64" s="167">
        <v>16.273503540175366</v>
      </c>
      <c r="AN64" s="168"/>
      <c r="AO64" s="343">
        <v>106.45376762028886</v>
      </c>
      <c r="AP64" s="170"/>
      <c r="AQ64" s="173">
        <f t="shared" si="16"/>
        <v>211.46626162749888</v>
      </c>
    </row>
    <row r="65" spans="1:44" ht="12.75" customHeight="1">
      <c r="A65" s="290" t="s">
        <v>184</v>
      </c>
      <c r="B65" s="291"/>
      <c r="C65" s="164">
        <f>SUM(D65:G65)</f>
        <v>2.9995488721804506E-3</v>
      </c>
      <c r="D65" s="298">
        <f>SUM(D66:D69)</f>
        <v>2.9995488721804506E-3</v>
      </c>
      <c r="E65" s="263"/>
      <c r="F65" s="263"/>
      <c r="G65" s="264"/>
      <c r="H65" s="168">
        <f>SUM(I65:K65)</f>
        <v>0</v>
      </c>
      <c r="I65" s="165"/>
      <c r="J65" s="166">
        <v>0</v>
      </c>
      <c r="K65" s="166">
        <v>0</v>
      </c>
      <c r="L65" s="168">
        <f>SUM(M65:Z65)</f>
        <v>118.05103027044154</v>
      </c>
      <c r="M65" s="166"/>
      <c r="N65" s="167"/>
      <c r="O65" s="167"/>
      <c r="P65" s="263"/>
      <c r="Q65" s="297">
        <v>44.566000000000003</v>
      </c>
      <c r="R65" s="263"/>
      <c r="S65" s="297">
        <v>0.2093031229578676</v>
      </c>
      <c r="T65" s="297">
        <v>25.380727147483668</v>
      </c>
      <c r="U65" s="297">
        <v>47.895000000000003</v>
      </c>
      <c r="V65" s="297">
        <f>SUM(V66:V69)</f>
        <v>0</v>
      </c>
      <c r="W65" s="263"/>
      <c r="X65" s="263"/>
      <c r="Y65" s="167"/>
      <c r="Z65" s="166"/>
      <c r="AA65" s="295">
        <v>126.35304891650591</v>
      </c>
      <c r="AB65" s="170">
        <f t="shared" si="32"/>
        <v>16.32596355224446</v>
      </c>
      <c r="AC65" s="171"/>
      <c r="AD65" s="166"/>
      <c r="AE65" s="166">
        <f>SUM(AE66:AE69)</f>
        <v>10.888124620233866</v>
      </c>
      <c r="AF65" s="166"/>
      <c r="AG65" s="166"/>
      <c r="AH65" s="166">
        <v>5.4378389320105924</v>
      </c>
      <c r="AI65" s="166"/>
      <c r="AJ65" s="166"/>
      <c r="AK65" s="166"/>
      <c r="AL65" s="166"/>
      <c r="AM65" s="167"/>
      <c r="AN65" s="168"/>
      <c r="AO65" s="295">
        <v>267.42042425078267</v>
      </c>
      <c r="AP65" s="170"/>
      <c r="AQ65" s="315">
        <f t="shared" si="16"/>
        <v>528.15346653884671</v>
      </c>
    </row>
    <row r="66" spans="1:44" ht="12.75" customHeight="1">
      <c r="A66" s="149" t="s">
        <v>185</v>
      </c>
      <c r="B66" s="316" t="s">
        <v>186</v>
      </c>
      <c r="C66" s="151">
        <f t="shared" ref="C66:C69" si="35">SUM(D66:G66)</f>
        <v>0</v>
      </c>
      <c r="D66" s="158">
        <v>0</v>
      </c>
      <c r="E66" s="203"/>
      <c r="F66" s="203"/>
      <c r="G66" s="317"/>
      <c r="H66" s="155">
        <f t="shared" ref="H66:H69" si="36">SUM(I66:K66)</f>
        <v>0</v>
      </c>
      <c r="I66" s="201"/>
      <c r="J66" s="153"/>
      <c r="K66" s="318"/>
      <c r="L66" s="155">
        <f t="shared" ref="L66:L69" si="37">SUM(M66:Z66)</f>
        <v>3.3410197250323015</v>
      </c>
      <c r="M66" s="201"/>
      <c r="N66" s="203"/>
      <c r="O66" s="154"/>
      <c r="P66" s="203"/>
      <c r="Q66" s="203">
        <v>0.122</v>
      </c>
      <c r="R66" s="203"/>
      <c r="S66" s="203">
        <v>1.0374380320092571E-3</v>
      </c>
      <c r="T66" s="203">
        <v>0.76598228700029225</v>
      </c>
      <c r="U66" s="203">
        <v>2.452</v>
      </c>
      <c r="V66" s="203">
        <v>0</v>
      </c>
      <c r="W66" s="203"/>
      <c r="X66" s="203"/>
      <c r="Y66" s="154"/>
      <c r="Z66" s="153"/>
      <c r="AA66" s="159">
        <v>7.8821512840276116</v>
      </c>
      <c r="AB66" s="157">
        <f t="shared" si="32"/>
        <v>5.4381158968788759</v>
      </c>
      <c r="AC66" s="158"/>
      <c r="AD66" s="153"/>
      <c r="AE66" s="153">
        <v>2.7696486828357507E-4</v>
      </c>
      <c r="AF66" s="153"/>
      <c r="AG66" s="153"/>
      <c r="AH66" s="153">
        <v>5.4378389320105924</v>
      </c>
      <c r="AI66" s="153"/>
      <c r="AJ66" s="153"/>
      <c r="AK66" s="153"/>
      <c r="AL66" s="153"/>
      <c r="AM66" s="154"/>
      <c r="AN66" s="155"/>
      <c r="AO66" s="159">
        <v>81.616702918667826</v>
      </c>
      <c r="AP66" s="157"/>
      <c r="AQ66" s="186">
        <f t="shared" si="16"/>
        <v>98.277989824606607</v>
      </c>
    </row>
    <row r="67" spans="1:44" ht="12.75" customHeight="1">
      <c r="A67" s="319" t="s">
        <v>187</v>
      </c>
      <c r="B67" s="320">
        <v>84</v>
      </c>
      <c r="C67" s="100">
        <f t="shared" si="35"/>
        <v>1.9996992481203005E-3</v>
      </c>
      <c r="D67" s="254">
        <v>1.9996992481203005E-3</v>
      </c>
      <c r="E67" s="257"/>
      <c r="F67" s="257"/>
      <c r="G67" s="258"/>
      <c r="H67" s="104">
        <f t="shared" si="36"/>
        <v>0</v>
      </c>
      <c r="I67" s="321"/>
      <c r="J67" s="107"/>
      <c r="K67" s="322"/>
      <c r="L67" s="104">
        <f t="shared" si="37"/>
        <v>34.630632733874108</v>
      </c>
      <c r="M67" s="321"/>
      <c r="N67" s="257"/>
      <c r="O67" s="103"/>
      <c r="P67" s="257"/>
      <c r="Q67" s="247">
        <v>6.7610000000000001</v>
      </c>
      <c r="R67" s="257"/>
      <c r="S67" s="247">
        <v>0.11783566980238479</v>
      </c>
      <c r="T67" s="247">
        <v>6.1927970640717263</v>
      </c>
      <c r="U67" s="247">
        <v>21.559000000000001</v>
      </c>
      <c r="V67" s="247">
        <v>0</v>
      </c>
      <c r="W67" s="257"/>
      <c r="X67" s="257"/>
      <c r="Y67" s="103"/>
      <c r="Z67" s="107"/>
      <c r="AA67" s="260">
        <v>48.743552497052647</v>
      </c>
      <c r="AB67" s="108">
        <f t="shared" si="32"/>
        <v>2.2524994443751578</v>
      </c>
      <c r="AC67" s="109"/>
      <c r="AD67" s="107"/>
      <c r="AE67" s="107">
        <v>2.2524994443751578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94.974256725621103</v>
      </c>
      <c r="AP67" s="108"/>
      <c r="AQ67" s="111">
        <f t="shared" si="16"/>
        <v>180.60294110017114</v>
      </c>
    </row>
    <row r="68" spans="1:44" ht="12.75" customHeight="1">
      <c r="A68" s="98" t="s">
        <v>188</v>
      </c>
      <c r="B68" s="302">
        <v>85</v>
      </c>
      <c r="C68" s="100">
        <f t="shared" si="35"/>
        <v>9.9984962406015026E-4</v>
      </c>
      <c r="D68" s="254">
        <v>9.9984962406015026E-4</v>
      </c>
      <c r="E68" s="257"/>
      <c r="F68" s="257"/>
      <c r="G68" s="258"/>
      <c r="H68" s="104">
        <f t="shared" si="36"/>
        <v>0</v>
      </c>
      <c r="I68" s="321"/>
      <c r="J68" s="107"/>
      <c r="K68" s="322"/>
      <c r="L68" s="104">
        <f t="shared" si="37"/>
        <v>54.515153225630989</v>
      </c>
      <c r="M68" s="321"/>
      <c r="N68" s="257"/>
      <c r="O68" s="103"/>
      <c r="P68" s="257"/>
      <c r="Q68" s="247">
        <v>23.23</v>
      </c>
      <c r="R68" s="257"/>
      <c r="S68" s="247">
        <v>1.7636446544157369E-2</v>
      </c>
      <c r="T68" s="247">
        <v>15.48051677908683</v>
      </c>
      <c r="U68" s="247">
        <v>15.787000000000001</v>
      </c>
      <c r="V68" s="247">
        <v>0</v>
      </c>
      <c r="W68" s="257"/>
      <c r="X68" s="257"/>
      <c r="Y68" s="103"/>
      <c r="Z68" s="107"/>
      <c r="AA68" s="260">
        <v>29.675527749657707</v>
      </c>
      <c r="AB68" s="108">
        <f t="shared" si="32"/>
        <v>7.6326101120399468</v>
      </c>
      <c r="AC68" s="109"/>
      <c r="AD68" s="107"/>
      <c r="AE68" s="107">
        <v>7.6326101120399468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56.120527543668743</v>
      </c>
      <c r="AP68" s="108"/>
      <c r="AQ68" s="111">
        <f t="shared" si="16"/>
        <v>147.94481848062145</v>
      </c>
    </row>
    <row r="69" spans="1:44" s="11" customFormat="1" ht="12.75" customHeight="1">
      <c r="A69" s="162" t="s">
        <v>189</v>
      </c>
      <c r="B69" s="310" t="s">
        <v>190</v>
      </c>
      <c r="C69" s="280">
        <f t="shared" si="35"/>
        <v>0</v>
      </c>
      <c r="D69" s="171">
        <v>0</v>
      </c>
      <c r="E69" s="263"/>
      <c r="F69" s="263"/>
      <c r="G69" s="264"/>
      <c r="H69" s="282">
        <f t="shared" si="36"/>
        <v>0</v>
      </c>
      <c r="I69" s="323"/>
      <c r="J69" s="166"/>
      <c r="K69" s="324"/>
      <c r="L69" s="282">
        <f t="shared" si="37"/>
        <v>25.564224585904135</v>
      </c>
      <c r="M69" s="323"/>
      <c r="N69" s="263"/>
      <c r="O69" s="167"/>
      <c r="P69" s="263"/>
      <c r="Q69" s="263">
        <v>14.452999999999999</v>
      </c>
      <c r="R69" s="263"/>
      <c r="S69" s="263">
        <v>7.2793568579316195E-2</v>
      </c>
      <c r="T69" s="263">
        <v>2.9414310173248217</v>
      </c>
      <c r="U69" s="263">
        <v>8.0969999999999995</v>
      </c>
      <c r="V69" s="263">
        <v>0</v>
      </c>
      <c r="W69" s="263"/>
      <c r="X69" s="263"/>
      <c r="Y69" s="167"/>
      <c r="Z69" s="166"/>
      <c r="AA69" s="172">
        <v>40.051817385767947</v>
      </c>
      <c r="AB69" s="285">
        <f t="shared" si="32"/>
        <v>1.0027380989504771</v>
      </c>
      <c r="AC69" s="286"/>
      <c r="AD69" s="279"/>
      <c r="AE69" s="279">
        <v>1.0027380989504771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34.708937062825001</v>
      </c>
      <c r="AP69" s="285"/>
      <c r="AQ69" s="287">
        <f t="shared" si="16"/>
        <v>101.32771713344755</v>
      </c>
      <c r="AR69" s="7"/>
    </row>
    <row r="70" spans="1:44" s="11" customFormat="1" ht="12.75" customHeight="1">
      <c r="A70" s="188" t="s">
        <v>147</v>
      </c>
      <c r="B70" s="189"/>
      <c r="C70" s="190">
        <f>SUM(D70:G70)</f>
        <v>0</v>
      </c>
      <c r="D70" s="325">
        <v>0</v>
      </c>
      <c r="E70" s="326"/>
      <c r="F70" s="327"/>
      <c r="G70" s="327"/>
      <c r="H70" s="194">
        <f>SUM(I70:K70)</f>
        <v>0</v>
      </c>
      <c r="I70" s="325"/>
      <c r="J70" s="326"/>
      <c r="K70" s="326"/>
      <c r="L70" s="194">
        <f>SUM(M70:Z70)</f>
        <v>183.28376479189578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22">
        <v>0</v>
      </c>
      <c r="U70" s="326">
        <v>183.28376479189578</v>
      </c>
      <c r="V70" s="153"/>
      <c r="W70" s="327"/>
      <c r="X70" s="327"/>
      <c r="Y70" s="327"/>
      <c r="Z70" s="326"/>
      <c r="AA70" s="194">
        <v>0</v>
      </c>
      <c r="AB70" s="195">
        <f t="shared" si="32"/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46.793657441418105</v>
      </c>
      <c r="AP70" s="195"/>
      <c r="AQ70" s="185">
        <f t="shared" si="16"/>
        <v>230.07742223331388</v>
      </c>
      <c r="AR70" s="7"/>
    </row>
    <row r="71" spans="1:44" s="11" customFormat="1" ht="12.75" customHeight="1" thickBot="1">
      <c r="A71" s="330" t="s">
        <v>148</v>
      </c>
      <c r="B71" s="163"/>
      <c r="C71" s="164">
        <f>SUM(D71:G71)</f>
        <v>0</v>
      </c>
      <c r="D71" s="165"/>
      <c r="E71" s="166"/>
      <c r="F71" s="167"/>
      <c r="G71" s="167"/>
      <c r="H71" s="168">
        <f>SUM(I71:K71)</f>
        <v>0</v>
      </c>
      <c r="I71" s="165"/>
      <c r="J71" s="166"/>
      <c r="K71" s="166"/>
      <c r="L71" s="168">
        <f>SUM(M71:Z71)</f>
        <v>23.527909786636457</v>
      </c>
      <c r="M71" s="166"/>
      <c r="N71" s="166"/>
      <c r="O71" s="166"/>
      <c r="P71" s="166"/>
      <c r="Q71" s="166"/>
      <c r="R71" s="166"/>
      <c r="S71" s="166"/>
      <c r="T71" s="166"/>
      <c r="U71" s="289">
        <v>23.527909786636457</v>
      </c>
      <c r="V71" s="166"/>
      <c r="W71" s="167"/>
      <c r="X71" s="167"/>
      <c r="Y71" s="167"/>
      <c r="Z71" s="166"/>
      <c r="AA71" s="168"/>
      <c r="AB71" s="170">
        <f t="shared" si="32"/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f t="shared" si="16"/>
        <v>23.527909786636457</v>
      </c>
      <c r="AR71" s="7"/>
    </row>
    <row r="72" spans="1:44" ht="12.75" customHeight="1" thickBot="1">
      <c r="A72" s="218" t="s">
        <v>149</v>
      </c>
      <c r="B72" s="219"/>
      <c r="C72" s="220">
        <f t="shared" ref="C72:AP72" si="38">C26-C27-C29</f>
        <v>-9.0581332177693525</v>
      </c>
      <c r="D72" s="221">
        <f t="shared" si="38"/>
        <v>-6.9354822728474232</v>
      </c>
      <c r="E72" s="222">
        <f t="shared" si="38"/>
        <v>-2.6469882778086173</v>
      </c>
      <c r="F72" s="226">
        <f t="shared" si="38"/>
        <v>0</v>
      </c>
      <c r="G72" s="226">
        <f t="shared" si="38"/>
        <v>0.52433733288671824</v>
      </c>
      <c r="H72" s="223">
        <f t="shared" si="38"/>
        <v>8.0942833818653526E-4</v>
      </c>
      <c r="I72" s="221">
        <f t="shared" si="38"/>
        <v>2.0251833818818454E-4</v>
      </c>
      <c r="J72" s="222">
        <f t="shared" si="38"/>
        <v>0</v>
      </c>
      <c r="K72" s="222">
        <f t="shared" si="38"/>
        <v>6.0691000000190343E-4</v>
      </c>
      <c r="L72" s="223">
        <f t="shared" si="38"/>
        <v>-13.84347859133868</v>
      </c>
      <c r="M72" s="222">
        <f t="shared" si="38"/>
        <v>0</v>
      </c>
      <c r="N72" s="222">
        <f t="shared" si="38"/>
        <v>0.10592816546412109</v>
      </c>
      <c r="O72" s="222">
        <f t="shared" si="38"/>
        <v>-2.9586845597954721</v>
      </c>
      <c r="P72" s="222">
        <f t="shared" si="38"/>
        <v>-32.910137912638788</v>
      </c>
      <c r="Q72" s="222">
        <f t="shared" si="38"/>
        <v>12.073866663040121</v>
      </c>
      <c r="R72" s="222">
        <f t="shared" si="38"/>
        <v>4.2521232268800304</v>
      </c>
      <c r="S72" s="222">
        <f t="shared" si="38"/>
        <v>6.6447056102567323</v>
      </c>
      <c r="T72" s="222">
        <f t="shared" si="38"/>
        <v>6.1164319481637506</v>
      </c>
      <c r="U72" s="222">
        <f t="shared" si="38"/>
        <v>-15.662102196444721</v>
      </c>
      <c r="V72" s="222">
        <f t="shared" si="38"/>
        <v>0.47626936567021971</v>
      </c>
      <c r="W72" s="226">
        <f t="shared" si="38"/>
        <v>8.0181210980662954</v>
      </c>
      <c r="X72" s="226">
        <f t="shared" si="38"/>
        <v>0</v>
      </c>
      <c r="Y72" s="226">
        <f t="shared" si="38"/>
        <v>0</v>
      </c>
      <c r="Z72" s="222">
        <f t="shared" si="38"/>
        <v>0</v>
      </c>
      <c r="AA72" s="223">
        <f t="shared" si="38"/>
        <v>-32.8669212987013</v>
      </c>
      <c r="AB72" s="225">
        <f t="shared" si="38"/>
        <v>0.56348898448783302</v>
      </c>
      <c r="AC72" s="331">
        <f t="shared" si="38"/>
        <v>0</v>
      </c>
      <c r="AD72" s="222">
        <f t="shared" si="38"/>
        <v>0</v>
      </c>
      <c r="AE72" s="222">
        <f t="shared" si="38"/>
        <v>0.23775685336775609</v>
      </c>
      <c r="AF72" s="222">
        <f t="shared" si="38"/>
        <v>0</v>
      </c>
      <c r="AG72" s="222">
        <f t="shared" si="38"/>
        <v>0</v>
      </c>
      <c r="AH72" s="222">
        <f t="shared" si="38"/>
        <v>0</v>
      </c>
      <c r="AI72" s="222">
        <f t="shared" si="38"/>
        <v>-0.39713207980801712</v>
      </c>
      <c r="AJ72" s="222">
        <f t="shared" si="38"/>
        <v>0.72286421092800524</v>
      </c>
      <c r="AK72" s="221">
        <f t="shared" si="38"/>
        <v>0</v>
      </c>
      <c r="AL72" s="226">
        <f t="shared" si="38"/>
        <v>0</v>
      </c>
      <c r="AM72" s="222">
        <f t="shared" si="38"/>
        <v>0</v>
      </c>
      <c r="AN72" s="223">
        <f t="shared" si="38"/>
        <v>0</v>
      </c>
      <c r="AO72" s="223">
        <f t="shared" si="38"/>
        <v>-33.686179244282812</v>
      </c>
      <c r="AP72" s="225">
        <f t="shared" si="38"/>
        <v>0</v>
      </c>
      <c r="AQ72" s="227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4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34" t="s">
        <v>192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36" t="s">
        <v>193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4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C2" sqref="C2:AQ72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196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1654.3924823476359</v>
      </c>
      <c r="AB2" s="94">
        <v>1635.2150859049425</v>
      </c>
      <c r="AC2" s="95">
        <v>80.208366922723997</v>
      </c>
      <c r="AD2" s="91">
        <v>993.25012277472592</v>
      </c>
      <c r="AE2" s="91">
        <v>224.50713625845012</v>
      </c>
      <c r="AF2" s="91">
        <v>144.97518876199408</v>
      </c>
      <c r="AG2" s="91">
        <v>29.2973095191293</v>
      </c>
      <c r="AH2" s="91">
        <v>20.978752439278033</v>
      </c>
      <c r="AI2" s="91">
        <v>54.202103779200016</v>
      </c>
      <c r="AJ2" s="91">
        <v>3.2458319936639999</v>
      </c>
      <c r="AK2" s="89">
        <v>4.6067814751104468</v>
      </c>
      <c r="AL2" s="89">
        <v>14.065106577357614</v>
      </c>
      <c r="AM2" s="87">
        <v>65.878385403308698</v>
      </c>
      <c r="AN2" s="96">
        <v>146.72404491084089</v>
      </c>
      <c r="AO2" s="96"/>
      <c r="AP2" s="94"/>
      <c r="AQ2" s="97">
        <v>3564.0356131634194</v>
      </c>
    </row>
    <row r="3" spans="1:43" ht="12.75" customHeight="1">
      <c r="A3" s="98" t="s">
        <v>94</v>
      </c>
      <c r="B3" s="99"/>
      <c r="C3" s="100">
        <v>257.4565392469857</v>
      </c>
      <c r="D3" s="101">
        <v>203.69540595685132</v>
      </c>
      <c r="E3" s="102">
        <v>46.889473425857332</v>
      </c>
      <c r="F3" s="103"/>
      <c r="G3" s="103">
        <v>6.8716598642770181</v>
      </c>
      <c r="H3" s="104">
        <v>0</v>
      </c>
      <c r="I3" s="105"/>
      <c r="J3" s="106"/>
      <c r="K3" s="107"/>
      <c r="L3" s="104">
        <v>8335.0260639152038</v>
      </c>
      <c r="M3" s="105">
        <v>3172.5022326307999</v>
      </c>
      <c r="N3" s="105">
        <v>0</v>
      </c>
      <c r="O3" s="107">
        <v>0</v>
      </c>
      <c r="P3" s="107">
        <v>441.34668550000004</v>
      </c>
      <c r="Q3" s="107">
        <v>377.13460637216002</v>
      </c>
      <c r="R3" s="107">
        <v>1027.8236736410399</v>
      </c>
      <c r="S3" s="107">
        <v>169.73261815564973</v>
      </c>
      <c r="T3" s="107">
        <v>143.70103224882507</v>
      </c>
      <c r="U3" s="107">
        <v>2621.9421551492815</v>
      </c>
      <c r="V3" s="107">
        <v>136.59692381585205</v>
      </c>
      <c r="W3" s="103">
        <v>0</v>
      </c>
      <c r="X3" s="103">
        <v>194.87328007089118</v>
      </c>
      <c r="Y3" s="103">
        <v>1.5276628954184432</v>
      </c>
      <c r="Z3" s="107">
        <v>47.84519343528769</v>
      </c>
      <c r="AA3" s="104">
        <v>2909.7374350890341</v>
      </c>
      <c r="AB3" s="108">
        <v>187.6532656052826</v>
      </c>
      <c r="AC3" s="109"/>
      <c r="AD3" s="107"/>
      <c r="AE3" s="107">
        <v>50.600999703858598</v>
      </c>
      <c r="AF3" s="107"/>
      <c r="AG3" s="107"/>
      <c r="AH3" s="107"/>
      <c r="AI3" s="107">
        <v>121.459214065824</v>
      </c>
      <c r="AJ3" s="107">
        <v>15.593051835599997</v>
      </c>
      <c r="AK3" s="105"/>
      <c r="AL3" s="105"/>
      <c r="AM3" s="103"/>
      <c r="AN3" s="110"/>
      <c r="AO3" s="110">
        <v>151.45561480000001</v>
      </c>
      <c r="AP3" s="108"/>
      <c r="AQ3" s="111">
        <v>11841.328918656505</v>
      </c>
    </row>
    <row r="4" spans="1:43" ht="12.75" customHeight="1">
      <c r="A4" s="98" t="s">
        <v>95</v>
      </c>
      <c r="B4" s="99"/>
      <c r="C4" s="100">
        <v>7.5800968179328008</v>
      </c>
      <c r="D4" s="101">
        <v>0</v>
      </c>
      <c r="E4" s="112">
        <v>7.0104982210000006</v>
      </c>
      <c r="F4" s="103"/>
      <c r="G4" s="103">
        <v>0.56959859693280002</v>
      </c>
      <c r="H4" s="104">
        <v>5.6650840000000002</v>
      </c>
      <c r="I4" s="105"/>
      <c r="J4" s="106"/>
      <c r="K4" s="107">
        <v>5.6650840000000002</v>
      </c>
      <c r="L4" s="104">
        <v>1746.2391008491654</v>
      </c>
      <c r="M4" s="105">
        <v>203.14203525139999</v>
      </c>
      <c r="N4" s="105">
        <v>0</v>
      </c>
      <c r="O4" s="107"/>
      <c r="P4" s="107">
        <v>344.2324058555555</v>
      </c>
      <c r="Q4" s="107">
        <v>10.65323596064</v>
      </c>
      <c r="R4" s="107">
        <v>0</v>
      </c>
      <c r="S4" s="107">
        <v>805.00220575932201</v>
      </c>
      <c r="T4" s="107">
        <v>23.693008540208883</v>
      </c>
      <c r="U4" s="107">
        <v>250.84630548233304</v>
      </c>
      <c r="V4" s="107">
        <v>1.0910931891622191E-3</v>
      </c>
      <c r="W4" s="103">
        <v>95.404369672651924</v>
      </c>
      <c r="X4" s="103">
        <v>5.9765350582651875</v>
      </c>
      <c r="Y4" s="103">
        <v>1.5873254727394804E-2</v>
      </c>
      <c r="Z4" s="107">
        <v>7.2720349208723203</v>
      </c>
      <c r="AA4" s="104">
        <v>0</v>
      </c>
      <c r="AB4" s="108">
        <v>16.625089489535998</v>
      </c>
      <c r="AC4" s="109"/>
      <c r="AD4" s="107"/>
      <c r="AE4" s="107">
        <v>4.1487913223999993</v>
      </c>
      <c r="AF4" s="107"/>
      <c r="AG4" s="107"/>
      <c r="AH4" s="107"/>
      <c r="AI4" s="107">
        <v>12.476298167135999</v>
      </c>
      <c r="AJ4" s="107">
        <v>0</v>
      </c>
      <c r="AK4" s="105"/>
      <c r="AL4" s="105"/>
      <c r="AM4" s="103"/>
      <c r="AN4" s="110"/>
      <c r="AO4" s="110">
        <v>164.51504245999999</v>
      </c>
      <c r="AP4" s="108"/>
      <c r="AQ4" s="111">
        <v>1940.6244136166342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154.96697482028239</v>
      </c>
      <c r="M5" s="105"/>
      <c r="N5" s="105"/>
      <c r="O5" s="107"/>
      <c r="P5" s="107"/>
      <c r="Q5" s="107"/>
      <c r="R5" s="107"/>
      <c r="S5" s="107">
        <v>10.364723131355934</v>
      </c>
      <c r="T5" s="107"/>
      <c r="U5" s="107">
        <v>144.60225168892646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154.96697482028239</v>
      </c>
    </row>
    <row r="6" spans="1:43" ht="12.75" customHeight="1" thickBot="1">
      <c r="A6" s="113" t="s">
        <v>97</v>
      </c>
      <c r="B6" s="114"/>
      <c r="C6" s="100">
        <v>197.61908522903212</v>
      </c>
      <c r="D6" s="115">
        <v>194.25295144302405</v>
      </c>
      <c r="E6" s="103">
        <v>3.7949396873000136</v>
      </c>
      <c r="F6" s="116"/>
      <c r="G6" s="116">
        <v>-0.42880590129192003</v>
      </c>
      <c r="H6" s="117">
        <v>295.53180469315566</v>
      </c>
      <c r="I6" s="118">
        <v>288.83629383315565</v>
      </c>
      <c r="J6" s="119">
        <v>0</v>
      </c>
      <c r="K6" s="118">
        <v>6.6955108599999997</v>
      </c>
      <c r="L6" s="117">
        <v>-203.4034851208574</v>
      </c>
      <c r="M6" s="105">
        <v>-67.58936669560002</v>
      </c>
      <c r="N6" s="105">
        <v>4.2156341015999974</v>
      </c>
      <c r="O6" s="107"/>
      <c r="P6" s="107">
        <v>-96.117885366666698</v>
      </c>
      <c r="Q6" s="107">
        <v>3.6454698425600003</v>
      </c>
      <c r="R6" s="107">
        <v>-225.04359515519994</v>
      </c>
      <c r="S6" s="107">
        <v>-37.703638539830507</v>
      </c>
      <c r="T6" s="107">
        <v>7.9377671657441242</v>
      </c>
      <c r="U6" s="107">
        <v>182.3905546427726</v>
      </c>
      <c r="V6" s="107">
        <v>20.904027125475771</v>
      </c>
      <c r="W6" s="116">
        <v>3.9575477582872911</v>
      </c>
      <c r="X6" s="116">
        <v>0</v>
      </c>
      <c r="Y6" s="116">
        <v>0</v>
      </c>
      <c r="Z6" s="118">
        <v>0</v>
      </c>
      <c r="AA6" s="117">
        <v>0</v>
      </c>
      <c r="AB6" s="120">
        <v>-5.8042222214435997</v>
      </c>
      <c r="AC6" s="121"/>
      <c r="AD6" s="122"/>
      <c r="AE6" s="122">
        <v>-1.1634774429635997</v>
      </c>
      <c r="AF6" s="122"/>
      <c r="AG6" s="122"/>
      <c r="AH6" s="122"/>
      <c r="AI6" s="122">
        <v>-6.284147436864</v>
      </c>
      <c r="AJ6" s="122">
        <v>1.643402658384</v>
      </c>
      <c r="AK6" s="118"/>
      <c r="AL6" s="118"/>
      <c r="AM6" s="116"/>
      <c r="AN6" s="123"/>
      <c r="AO6" s="123"/>
      <c r="AP6" s="120"/>
      <c r="AQ6" s="124">
        <v>283.94318257988681</v>
      </c>
    </row>
    <row r="7" spans="1:43" s="11" customFormat="1" ht="12.75" customHeight="1">
      <c r="A7" s="125" t="s">
        <v>98</v>
      </c>
      <c r="B7" s="126"/>
      <c r="C7" s="127">
        <v>447.49552765808505</v>
      </c>
      <c r="D7" s="128">
        <v>397.94835739987536</v>
      </c>
      <c r="E7" s="129">
        <v>43.673914892157349</v>
      </c>
      <c r="F7" s="129">
        <v>0</v>
      </c>
      <c r="G7" s="129">
        <v>5.8732553660522981</v>
      </c>
      <c r="H7" s="130">
        <v>417.57072069315564</v>
      </c>
      <c r="I7" s="128">
        <v>288.83629383315565</v>
      </c>
      <c r="J7" s="131">
        <v>127.70399999999999</v>
      </c>
      <c r="K7" s="129">
        <v>1.0304268599999995</v>
      </c>
      <c r="L7" s="130">
        <v>6230.4165031248995</v>
      </c>
      <c r="M7" s="128">
        <v>2901.7708306837999</v>
      </c>
      <c r="N7" s="128">
        <v>4.2156341015999974</v>
      </c>
      <c r="O7" s="129">
        <v>0</v>
      </c>
      <c r="P7" s="129">
        <v>0.99639427777783851</v>
      </c>
      <c r="Q7" s="129">
        <v>370.12684025407998</v>
      </c>
      <c r="R7" s="129">
        <v>802.78007848584002</v>
      </c>
      <c r="S7" s="129">
        <v>-683.33794927485883</v>
      </c>
      <c r="T7" s="129">
        <v>127.94579087436031</v>
      </c>
      <c r="U7" s="129">
        <v>2408.8841526207943</v>
      </c>
      <c r="V7" s="129">
        <v>157.49985984813867</v>
      </c>
      <c r="W7" s="129">
        <v>-91.446821914364634</v>
      </c>
      <c r="X7" s="129">
        <v>188.89674501262598</v>
      </c>
      <c r="Y7" s="129">
        <v>1.5117896406910485</v>
      </c>
      <c r="Z7" s="129">
        <v>40.573158514415368</v>
      </c>
      <c r="AA7" s="130">
        <v>4564.1299174366704</v>
      </c>
      <c r="AB7" s="130">
        <v>1800.4390397992454</v>
      </c>
      <c r="AC7" s="128">
        <v>80.208366922723997</v>
      </c>
      <c r="AD7" s="129">
        <v>993.25012277472592</v>
      </c>
      <c r="AE7" s="129">
        <v>269.79586719694515</v>
      </c>
      <c r="AF7" s="129">
        <v>144.97518876199408</v>
      </c>
      <c r="AG7" s="129">
        <v>29.2973095191293</v>
      </c>
      <c r="AH7" s="129">
        <v>20.978752439278033</v>
      </c>
      <c r="AI7" s="129">
        <v>156.90087224102402</v>
      </c>
      <c r="AJ7" s="129">
        <v>20.482286487648</v>
      </c>
      <c r="AK7" s="132">
        <v>4.6067814751104468</v>
      </c>
      <c r="AL7" s="132">
        <v>14.065106577357614</v>
      </c>
      <c r="AM7" s="128">
        <v>65.878385403308698</v>
      </c>
      <c r="AN7" s="130">
        <v>146.72404491084089</v>
      </c>
      <c r="AO7" s="130">
        <v>-13.059427659999983</v>
      </c>
      <c r="AP7" s="133">
        <v>0</v>
      </c>
      <c r="AQ7" s="134">
        <v>13593.716325962896</v>
      </c>
    </row>
    <row r="8" spans="1:43" s="11" customFormat="1" ht="12.75" customHeight="1" thickBot="1">
      <c r="A8" s="135" t="s">
        <v>99</v>
      </c>
      <c r="B8" s="136"/>
      <c r="C8" s="137">
        <v>447.49552765808505</v>
      </c>
      <c r="D8" s="138">
        <v>397.94835739987536</v>
      </c>
      <c r="E8" s="139">
        <v>43.673914892157349</v>
      </c>
      <c r="F8" s="140">
        <v>0</v>
      </c>
      <c r="G8" s="140">
        <v>5.8732553660522981</v>
      </c>
      <c r="H8" s="141">
        <v>417.57072069315564</v>
      </c>
      <c r="I8" s="138">
        <v>288.83629383315565</v>
      </c>
      <c r="J8" s="142">
        <v>127.70399999999999</v>
      </c>
      <c r="K8" s="139">
        <v>1.0304268599999995</v>
      </c>
      <c r="L8" s="141">
        <v>5999.4348099571671</v>
      </c>
      <c r="M8" s="138">
        <v>2901.7708306837999</v>
      </c>
      <c r="N8" s="138">
        <v>4.2156341015999974</v>
      </c>
      <c r="O8" s="139">
        <v>0</v>
      </c>
      <c r="P8" s="139">
        <v>0.99639427777783851</v>
      </c>
      <c r="Q8" s="139">
        <v>370.12684025407998</v>
      </c>
      <c r="R8" s="139">
        <v>802.78007848584002</v>
      </c>
      <c r="S8" s="139">
        <v>-683.33794927485883</v>
      </c>
      <c r="T8" s="139">
        <v>127.94579087436031</v>
      </c>
      <c r="U8" s="139">
        <v>2408.8841526207943</v>
      </c>
      <c r="V8" s="139">
        <v>157.49985984813867</v>
      </c>
      <c r="W8" s="140">
        <v>-91.446821914364634</v>
      </c>
      <c r="X8" s="140">
        <v>0</v>
      </c>
      <c r="Y8" s="140">
        <v>0</v>
      </c>
      <c r="Z8" s="139">
        <v>0</v>
      </c>
      <c r="AA8" s="141">
        <v>4564.1299174366704</v>
      </c>
      <c r="AB8" s="143">
        <v>1800.4390397992454</v>
      </c>
      <c r="AC8" s="138">
        <v>80.208366922723997</v>
      </c>
      <c r="AD8" s="139">
        <v>993.25012277472592</v>
      </c>
      <c r="AE8" s="139">
        <v>269.79586719694515</v>
      </c>
      <c r="AF8" s="139">
        <v>144.97518876199408</v>
      </c>
      <c r="AG8" s="139">
        <v>29.2973095191293</v>
      </c>
      <c r="AH8" s="139">
        <v>20.978752439278033</v>
      </c>
      <c r="AI8" s="139">
        <v>156.90087224102402</v>
      </c>
      <c r="AJ8" s="139">
        <v>20.482286487648</v>
      </c>
      <c r="AK8" s="144">
        <v>4.6067814751104468</v>
      </c>
      <c r="AL8" s="144">
        <v>14.065106577357614</v>
      </c>
      <c r="AM8" s="138">
        <v>65.878385403308698</v>
      </c>
      <c r="AN8" s="141">
        <v>146.72404491084089</v>
      </c>
      <c r="AO8" s="141">
        <v>-13.059427659999983</v>
      </c>
      <c r="AP8" s="138">
        <v>0</v>
      </c>
      <c r="AQ8" s="145">
        <v>13362.734632795164</v>
      </c>
    </row>
    <row r="9" spans="1:43" s="11" customFormat="1" ht="12.75" customHeight="1">
      <c r="A9" s="125" t="s">
        <v>100</v>
      </c>
      <c r="B9" s="126"/>
      <c r="C9" s="127">
        <v>194.69705027155237</v>
      </c>
      <c r="D9" s="132">
        <v>194.69705027155237</v>
      </c>
      <c r="E9" s="129">
        <v>0</v>
      </c>
      <c r="F9" s="146">
        <v>0</v>
      </c>
      <c r="G9" s="146">
        <v>0</v>
      </c>
      <c r="H9" s="130">
        <v>279.42575379585639</v>
      </c>
      <c r="I9" s="132">
        <v>279.42575379585639</v>
      </c>
      <c r="J9" s="131">
        <v>0</v>
      </c>
      <c r="K9" s="129">
        <v>0</v>
      </c>
      <c r="L9" s="130">
        <v>3066.0953819620245</v>
      </c>
      <c r="M9" s="129">
        <v>2901.7708306837999</v>
      </c>
      <c r="N9" s="129">
        <v>57.172654417181427</v>
      </c>
      <c r="O9" s="129">
        <v>0</v>
      </c>
      <c r="P9" s="129">
        <v>0</v>
      </c>
      <c r="Q9" s="129">
        <v>0</v>
      </c>
      <c r="R9" s="129">
        <v>0</v>
      </c>
      <c r="S9" s="129">
        <v>95.284528897257388</v>
      </c>
      <c r="T9" s="129">
        <v>0.43028177235839993</v>
      </c>
      <c r="U9" s="129">
        <v>11.437086191427156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2610.5177304438848</v>
      </c>
      <c r="AB9" s="128">
        <v>237.70290130691626</v>
      </c>
      <c r="AC9" s="147">
        <v>0</v>
      </c>
      <c r="AD9" s="129">
        <v>0</v>
      </c>
      <c r="AE9" s="129">
        <v>98.039012347565588</v>
      </c>
      <c r="AF9" s="129">
        <v>101.61830092169396</v>
      </c>
      <c r="AG9" s="129">
        <v>29.2973095191293</v>
      </c>
      <c r="AH9" s="129">
        <v>8.7482785185274174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93.128910481319238</v>
      </c>
      <c r="AO9" s="130">
        <v>57.940724099999997</v>
      </c>
      <c r="AP9" s="128">
        <v>0</v>
      </c>
      <c r="AQ9" s="148">
        <v>6539.5084523615533</v>
      </c>
    </row>
    <row r="10" spans="1:43" ht="12.75" customHeight="1">
      <c r="A10" s="149" t="s">
        <v>422</v>
      </c>
      <c r="B10" s="150"/>
      <c r="C10" s="151">
        <v>194.69705027155237</v>
      </c>
      <c r="D10" s="152">
        <v>194.69705027155237</v>
      </c>
      <c r="E10" s="153"/>
      <c r="F10" s="154"/>
      <c r="G10" s="154"/>
      <c r="H10" s="155">
        <v>208.62191350617647</v>
      </c>
      <c r="I10" s="152">
        <v>208.62191350617647</v>
      </c>
      <c r="J10" s="156">
        <v>0</v>
      </c>
      <c r="K10" s="153"/>
      <c r="L10" s="155">
        <v>106.72161508868454</v>
      </c>
      <c r="M10" s="153"/>
      <c r="N10" s="153"/>
      <c r="O10" s="153"/>
      <c r="P10" s="153"/>
      <c r="Q10" s="153"/>
      <c r="R10" s="153"/>
      <c r="S10" s="153">
        <v>95.284528897257388</v>
      </c>
      <c r="T10" s="153"/>
      <c r="U10" s="153">
        <v>11.437086191427156</v>
      </c>
      <c r="V10" s="153"/>
      <c r="W10" s="154"/>
      <c r="X10" s="154"/>
      <c r="Y10" s="154"/>
      <c r="Z10" s="153"/>
      <c r="AA10" s="155">
        <v>2290.6684276394058</v>
      </c>
      <c r="AB10" s="157">
        <v>225.35350571159842</v>
      </c>
      <c r="AC10" s="158"/>
      <c r="AD10" s="153"/>
      <c r="AE10" s="153">
        <v>94.437895270775158</v>
      </c>
      <c r="AF10" s="153">
        <v>101.61830092169396</v>
      </c>
      <c r="AG10" s="153">
        <v>29.2973095191293</v>
      </c>
      <c r="AH10" s="153"/>
      <c r="AI10" s="153"/>
      <c r="AJ10" s="153"/>
      <c r="AK10" s="152"/>
      <c r="AL10" s="152"/>
      <c r="AM10" s="154"/>
      <c r="AN10" s="159">
        <v>93.128910481319238</v>
      </c>
      <c r="AO10" s="155"/>
      <c r="AP10" s="157"/>
      <c r="AQ10" s="160">
        <v>3119.1914226987365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5.2105929633641628</v>
      </c>
      <c r="I11" s="105">
        <v>5.2105929633641628</v>
      </c>
      <c r="J11" s="106"/>
      <c r="K11" s="107"/>
      <c r="L11" s="104">
        <v>0.43028177235839993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0.43028177235839993</v>
      </c>
      <c r="U11" s="107">
        <v>0</v>
      </c>
      <c r="V11" s="107"/>
      <c r="W11" s="103"/>
      <c r="X11" s="103"/>
      <c r="Y11" s="103"/>
      <c r="Z11" s="107"/>
      <c r="AA11" s="104">
        <v>276.565405781967</v>
      </c>
      <c r="AB11" s="108">
        <v>12.349395595317848</v>
      </c>
      <c r="AC11" s="109"/>
      <c r="AD11" s="107"/>
      <c r="AE11" s="107">
        <v>3.6011170767904312</v>
      </c>
      <c r="AF11" s="107"/>
      <c r="AG11" s="107"/>
      <c r="AH11" s="107">
        <v>8.7482785185274174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294.55567611300739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46.077264899999996</v>
      </c>
      <c r="AP12" s="108"/>
      <c r="AQ12" s="111">
        <v>46.077264899999996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65.593247326315804</v>
      </c>
      <c r="I13" s="105">
        <v>65.593247326315804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65.593247326315804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2958.9434851009814</v>
      </c>
      <c r="M14" s="166">
        <v>2901.7708306837999</v>
      </c>
      <c r="N14" s="166">
        <v>57.172654417181427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43.283897022512029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11.863459199999998</v>
      </c>
      <c r="AP14" s="170"/>
      <c r="AQ14" s="173">
        <v>3014.0908413234934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62.313584960000007</v>
      </c>
      <c r="I15" s="177">
        <v>0</v>
      </c>
      <c r="J15" s="181">
        <v>0</v>
      </c>
      <c r="K15" s="178">
        <v>62.313584960000007</v>
      </c>
      <c r="L15" s="180">
        <v>2992.6449595101435</v>
      </c>
      <c r="M15" s="178">
        <v>0</v>
      </c>
      <c r="N15" s="178">
        <v>0</v>
      </c>
      <c r="O15" s="178">
        <v>84.87332423959397</v>
      </c>
      <c r="P15" s="178">
        <v>572.13670928888882</v>
      </c>
      <c r="Q15" s="178">
        <v>292.80808059776007</v>
      </c>
      <c r="R15" s="178">
        <v>0</v>
      </c>
      <c r="S15" s="178">
        <v>811.56918787711868</v>
      </c>
      <c r="T15" s="178">
        <v>58.857046748929513</v>
      </c>
      <c r="U15" s="178">
        <v>1078.6036657440404</v>
      </c>
      <c r="V15" s="178">
        <v>0</v>
      </c>
      <c r="W15" s="179">
        <v>93.796945013812149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1696.8790007913435</v>
      </c>
      <c r="AP15" s="182">
        <v>0</v>
      </c>
      <c r="AQ15" s="185">
        <v>4751.8375452614873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1492.3004122481516</v>
      </c>
      <c r="AP16" s="157"/>
      <c r="AQ16" s="186">
        <v>1492.3004122481516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179.50422993685575</v>
      </c>
      <c r="AP17" s="108"/>
      <c r="AQ17" s="111">
        <v>179.50422993685575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25.074358606335995</v>
      </c>
      <c r="AP18" s="108"/>
      <c r="AQ18" s="111">
        <v>25.074358606335995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62.313584960000007</v>
      </c>
      <c r="I19" s="105"/>
      <c r="J19" s="107"/>
      <c r="K19" s="107">
        <v>62.313584960000007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62.313584960000007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2992.6449595101435</v>
      </c>
      <c r="M20" s="166"/>
      <c r="N20" s="166"/>
      <c r="O20" s="166">
        <v>84.87332423959397</v>
      </c>
      <c r="P20" s="166">
        <v>572.13670928888882</v>
      </c>
      <c r="Q20" s="166">
        <v>292.80808059776007</v>
      </c>
      <c r="R20" s="166">
        <v>0</v>
      </c>
      <c r="S20" s="166">
        <v>811.56918787711868</v>
      </c>
      <c r="T20" s="166">
        <v>58.857046748929513</v>
      </c>
      <c r="U20" s="166">
        <v>1078.6036657440404</v>
      </c>
      <c r="V20" s="166"/>
      <c r="W20" s="167">
        <v>93.796945013812149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2992.6449595101435</v>
      </c>
    </row>
    <row r="21" spans="1:43" ht="12.75" customHeight="1">
      <c r="A21" s="188" t="s">
        <v>102</v>
      </c>
      <c r="B21" s="189"/>
      <c r="C21" s="190">
        <v>23.598411100970438</v>
      </c>
      <c r="D21" s="191">
        <v>-20.463590708853772</v>
      </c>
      <c r="E21" s="192">
        <v>44.06200180982421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-47.558448392699887</v>
      </c>
      <c r="M21" s="192">
        <v>0</v>
      </c>
      <c r="N21" s="192">
        <v>52.921960273414683</v>
      </c>
      <c r="O21" s="192">
        <v>0</v>
      </c>
      <c r="P21" s="192">
        <v>-13.674110888888944</v>
      </c>
      <c r="Q21" s="192">
        <v>404.83171025024006</v>
      </c>
      <c r="R21" s="192">
        <v>-403.94964040031999</v>
      </c>
      <c r="S21" s="192">
        <v>-0.67111475508474583</v>
      </c>
      <c r="T21" s="192">
        <v>0</v>
      </c>
      <c r="U21" s="192">
        <v>-61.068805771090524</v>
      </c>
      <c r="V21" s="192">
        <v>-23.598411100970434</v>
      </c>
      <c r="W21" s="193">
        <v>-2.3500360000000002</v>
      </c>
      <c r="X21" s="193">
        <v>0</v>
      </c>
      <c r="Y21" s="193">
        <v>0</v>
      </c>
      <c r="Z21" s="192">
        <v>0</v>
      </c>
      <c r="AA21" s="194">
        <v>0</v>
      </c>
      <c r="AB21" s="195">
        <v>-1078.1524023196005</v>
      </c>
      <c r="AC21" s="196">
        <v>-80.208366922723997</v>
      </c>
      <c r="AD21" s="192">
        <v>-993.25012277472592</v>
      </c>
      <c r="AE21" s="192">
        <v>0</v>
      </c>
      <c r="AF21" s="192">
        <v>0</v>
      </c>
      <c r="AG21" s="197">
        <v>0</v>
      </c>
      <c r="AH21" s="197">
        <v>-8.7131147039999982E-2</v>
      </c>
      <c r="AI21" s="197">
        <v>0</v>
      </c>
      <c r="AJ21" s="197">
        <v>0</v>
      </c>
      <c r="AK21" s="191">
        <v>-4.6067814751104468</v>
      </c>
      <c r="AL21" s="197">
        <v>0</v>
      </c>
      <c r="AM21" s="193">
        <v>0</v>
      </c>
      <c r="AN21" s="198">
        <v>0</v>
      </c>
      <c r="AO21" s="194">
        <v>1078.0652711725604</v>
      </c>
      <c r="AP21" s="195">
        <v>0</v>
      </c>
      <c r="AQ21" s="199">
        <v>-24.04716843876945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-1078.0652711725604</v>
      </c>
      <c r="AC22" s="158">
        <v>-80.208366922723997</v>
      </c>
      <c r="AD22" s="153">
        <v>-993.25012277472592</v>
      </c>
      <c r="AE22" s="153"/>
      <c r="AF22" s="153"/>
      <c r="AG22" s="161"/>
      <c r="AH22" s="161"/>
      <c r="AI22" s="161"/>
      <c r="AJ22" s="161"/>
      <c r="AK22" s="152">
        <v>-4.6067814751104468</v>
      </c>
      <c r="AL22" s="161"/>
      <c r="AM22" s="154"/>
      <c r="AN22" s="159"/>
      <c r="AO22" s="155">
        <v>1078.0652711725604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23.598411100970438</v>
      </c>
      <c r="D24" s="215">
        <v>-20.463590708853772</v>
      </c>
      <c r="E24" s="122">
        <v>44.06200180982421</v>
      </c>
      <c r="F24" s="116"/>
      <c r="G24" s="116">
        <v>0</v>
      </c>
      <c r="H24" s="117"/>
      <c r="I24" s="216"/>
      <c r="J24" s="122"/>
      <c r="K24" s="122"/>
      <c r="L24" s="117">
        <v>-47.558448392699887</v>
      </c>
      <c r="M24" s="122"/>
      <c r="N24" s="122">
        <v>52.921960273414683</v>
      </c>
      <c r="O24" s="122"/>
      <c r="P24" s="122">
        <v>-13.674110888888944</v>
      </c>
      <c r="Q24" s="122">
        <v>404.83171025024006</v>
      </c>
      <c r="R24" s="122">
        <v>-403.94964040031999</v>
      </c>
      <c r="S24" s="122">
        <v>-0.67111475508474583</v>
      </c>
      <c r="T24" s="122"/>
      <c r="U24" s="122">
        <v>-61.068805771090524</v>
      </c>
      <c r="V24" s="116">
        <v>-23.598411100970434</v>
      </c>
      <c r="W24" s="116">
        <v>-2.3500360000000002</v>
      </c>
      <c r="X24" s="116"/>
      <c r="Y24" s="116"/>
      <c r="Z24" s="122"/>
      <c r="AA24" s="117"/>
      <c r="AB24" s="117">
        <v>-8.7131147039999982E-2</v>
      </c>
      <c r="AC24" s="121"/>
      <c r="AD24" s="122"/>
      <c r="AE24" s="122"/>
      <c r="AF24" s="122"/>
      <c r="AG24" s="122"/>
      <c r="AH24" s="122">
        <v>-8.7131147039999982E-2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-24.04716843876945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9.048846725801786</v>
      </c>
      <c r="I25" s="207">
        <v>9.048846725801786</v>
      </c>
      <c r="J25" s="217"/>
      <c r="K25" s="209"/>
      <c r="L25" s="180">
        <v>93.567081565085488</v>
      </c>
      <c r="M25" s="209"/>
      <c r="N25" s="209"/>
      <c r="O25" s="209">
        <v>88.228997027992975</v>
      </c>
      <c r="P25" s="209"/>
      <c r="Q25" s="209"/>
      <c r="R25" s="209"/>
      <c r="S25" s="209">
        <v>0</v>
      </c>
      <c r="T25" s="209">
        <v>4.1693256233877908E-3</v>
      </c>
      <c r="U25" s="209">
        <v>5.3339152114691144</v>
      </c>
      <c r="V25" s="209"/>
      <c r="W25" s="207"/>
      <c r="X25" s="207"/>
      <c r="Y25" s="207"/>
      <c r="Z25" s="209"/>
      <c r="AA25" s="180">
        <v>60.96626883535253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263.89314971775485</v>
      </c>
      <c r="AP25" s="182"/>
      <c r="AQ25" s="213">
        <v>427.47534684399466</v>
      </c>
    </row>
    <row r="26" spans="1:43" s="11" customFormat="1" ht="12.75" customHeight="1" thickBot="1">
      <c r="A26" s="218" t="s">
        <v>104</v>
      </c>
      <c r="B26" s="219"/>
      <c r="C26" s="220">
        <v>276.39688848750313</v>
      </c>
      <c r="D26" s="221">
        <v>182.78771641946923</v>
      </c>
      <c r="E26" s="222">
        <v>87.735916701981552</v>
      </c>
      <c r="F26" s="222">
        <v>0</v>
      </c>
      <c r="G26" s="222">
        <v>5.8732553660522981</v>
      </c>
      <c r="H26" s="223">
        <v>191.40970513149747</v>
      </c>
      <c r="I26" s="221">
        <v>0.3616933114974703</v>
      </c>
      <c r="J26" s="224">
        <v>127.70399999999999</v>
      </c>
      <c r="K26" s="222">
        <v>63.344011820000006</v>
      </c>
      <c r="L26" s="223">
        <v>6015.8405507152338</v>
      </c>
      <c r="M26" s="222">
        <v>0</v>
      </c>
      <c r="N26" s="222">
        <v>-3.5060042166747962E-2</v>
      </c>
      <c r="O26" s="222">
        <v>-3.355672788399005</v>
      </c>
      <c r="P26" s="222">
        <v>559.45899267777781</v>
      </c>
      <c r="Q26" s="222">
        <v>1067.7666311020801</v>
      </c>
      <c r="R26" s="222">
        <v>398.83043808552003</v>
      </c>
      <c r="S26" s="222">
        <v>32.275594949917746</v>
      </c>
      <c r="T26" s="222">
        <v>186.36838652530804</v>
      </c>
      <c r="U26" s="222">
        <v>3409.6480111908481</v>
      </c>
      <c r="V26" s="222">
        <v>133.90144874716825</v>
      </c>
      <c r="W26" s="222">
        <v>8.7099447514837891E-5</v>
      </c>
      <c r="X26" s="222">
        <v>188.89674501262598</v>
      </c>
      <c r="Y26" s="222">
        <v>1.5117896406910485</v>
      </c>
      <c r="Z26" s="222">
        <v>40.573158514415368</v>
      </c>
      <c r="AA26" s="223">
        <v>1892.645918157433</v>
      </c>
      <c r="AB26" s="225">
        <v>484.58373617272878</v>
      </c>
      <c r="AC26" s="147">
        <v>0</v>
      </c>
      <c r="AD26" s="129">
        <v>0</v>
      </c>
      <c r="AE26" s="129">
        <v>171.75685484937958</v>
      </c>
      <c r="AF26" s="129">
        <v>43.356887840300118</v>
      </c>
      <c r="AG26" s="129">
        <v>0</v>
      </c>
      <c r="AH26" s="129">
        <v>12.143342773710616</v>
      </c>
      <c r="AI26" s="129">
        <v>156.90087224102402</v>
      </c>
      <c r="AJ26" s="129">
        <v>20.482286487648</v>
      </c>
      <c r="AK26" s="132">
        <v>0</v>
      </c>
      <c r="AL26" s="132">
        <v>14.065106577357614</v>
      </c>
      <c r="AM26" s="226">
        <v>65.878385403308698</v>
      </c>
      <c r="AN26" s="223">
        <v>53.59513442952165</v>
      </c>
      <c r="AO26" s="223">
        <v>2440.0509704861493</v>
      </c>
      <c r="AP26" s="225">
        <v>0</v>
      </c>
      <c r="AQ26" s="227">
        <v>11354.522903580066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230.98169316773237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188.89674501262598</v>
      </c>
      <c r="Y27" s="146">
        <v>1.5117896406910485</v>
      </c>
      <c r="Z27" s="129">
        <v>40.573158514415368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230.98169316773237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230.98169316773237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188.89674501262598</v>
      </c>
      <c r="Y28" s="193">
        <v>1.5117896406910485</v>
      </c>
      <c r="Z28" s="192">
        <v>40.573158514415368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230.98169316773237</v>
      </c>
    </row>
    <row r="29" spans="1:43" s="11" customFormat="1" ht="12.75" customHeight="1" thickBot="1">
      <c r="A29" s="125" t="s">
        <v>107</v>
      </c>
      <c r="B29" s="126"/>
      <c r="C29" s="127">
        <v>271.61503087194325</v>
      </c>
      <c r="D29" s="132">
        <v>175.86447231625687</v>
      </c>
      <c r="E29" s="129">
        <v>88.555978011324342</v>
      </c>
      <c r="F29" s="146">
        <v>0</v>
      </c>
      <c r="G29" s="146">
        <v>7.1945805443620676</v>
      </c>
      <c r="H29" s="130">
        <v>189.34577988999999</v>
      </c>
      <c r="I29" s="132">
        <v>0</v>
      </c>
      <c r="J29" s="233">
        <v>127.70399999999999</v>
      </c>
      <c r="K29" s="132">
        <v>61.641779890000002</v>
      </c>
      <c r="L29" s="130">
        <v>5825.4294096963567</v>
      </c>
      <c r="M29" s="129">
        <v>0</v>
      </c>
      <c r="N29" s="129">
        <v>0</v>
      </c>
      <c r="O29" s="129">
        <v>0</v>
      </c>
      <c r="P29" s="129">
        <v>578.4274828444444</v>
      </c>
      <c r="Q29" s="129">
        <v>1070.01152241984</v>
      </c>
      <c r="R29" s="129">
        <v>397.88853593616</v>
      </c>
      <c r="S29" s="129">
        <v>29.445261144829878</v>
      </c>
      <c r="T29" s="129">
        <v>173.91856847315918</v>
      </c>
      <c r="U29" s="129">
        <v>3442.9262047751163</v>
      </c>
      <c r="V29" s="129">
        <v>132.81183410280588</v>
      </c>
      <c r="W29" s="146">
        <v>0</v>
      </c>
      <c r="X29" s="146">
        <v>0</v>
      </c>
      <c r="Y29" s="146">
        <v>0</v>
      </c>
      <c r="Z29" s="132">
        <v>0</v>
      </c>
      <c r="AA29" s="223">
        <v>1960.2757211723933</v>
      </c>
      <c r="AB29" s="128">
        <v>489.75140909581313</v>
      </c>
      <c r="AC29" s="147">
        <v>0</v>
      </c>
      <c r="AD29" s="129">
        <v>0</v>
      </c>
      <c r="AE29" s="129">
        <v>179.81533888187212</v>
      </c>
      <c r="AF29" s="129">
        <v>43.356887840300104</v>
      </c>
      <c r="AG29" s="129">
        <v>0</v>
      </c>
      <c r="AH29" s="129">
        <v>12.143342773710614</v>
      </c>
      <c r="AI29" s="129">
        <v>155.05738835673603</v>
      </c>
      <c r="AJ29" s="129">
        <v>19.434959262528004</v>
      </c>
      <c r="AK29" s="128">
        <v>0</v>
      </c>
      <c r="AL29" s="128">
        <v>14.065106577357612</v>
      </c>
      <c r="AM29" s="128">
        <v>65.878385403308698</v>
      </c>
      <c r="AN29" s="128">
        <v>53.595134429521629</v>
      </c>
      <c r="AO29" s="130">
        <v>2464.186846187612</v>
      </c>
      <c r="AP29" s="128">
        <v>0</v>
      </c>
      <c r="AQ29" s="227">
        <v>11254.19933134364</v>
      </c>
    </row>
    <row r="30" spans="1:43" s="11" customFormat="1" ht="12.75" customHeight="1">
      <c r="A30" s="234" t="s">
        <v>108</v>
      </c>
      <c r="B30" s="235"/>
      <c r="C30" s="236">
        <v>76.09297317170001</v>
      </c>
      <c r="D30" s="237">
        <v>76.09297317170001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329.27016423843844</v>
      </c>
      <c r="M30" s="237">
        <v>0</v>
      </c>
      <c r="N30" s="237">
        <v>0</v>
      </c>
      <c r="O30" s="237">
        <v>0</v>
      </c>
      <c r="P30" s="237">
        <v>0</v>
      </c>
      <c r="Q30" s="237">
        <v>6.3369175404282769</v>
      </c>
      <c r="R30" s="237">
        <v>0</v>
      </c>
      <c r="S30" s="237">
        <v>29.235958021872012</v>
      </c>
      <c r="T30" s="237">
        <v>64.002984893340141</v>
      </c>
      <c r="U30" s="237">
        <v>104.25954112056567</v>
      </c>
      <c r="V30" s="237">
        <v>125.43476266223239</v>
      </c>
      <c r="W30" s="237">
        <v>0</v>
      </c>
      <c r="X30" s="237">
        <v>0</v>
      </c>
      <c r="Y30" s="237">
        <v>0</v>
      </c>
      <c r="Z30" s="237">
        <v>0</v>
      </c>
      <c r="AA30" s="239">
        <v>1047.1701675754857</v>
      </c>
      <c r="AB30" s="241">
        <v>187.42130034720316</v>
      </c>
      <c r="AC30" s="242">
        <v>0</v>
      </c>
      <c r="AD30" s="237">
        <v>0</v>
      </c>
      <c r="AE30" s="237">
        <v>138.13692888548812</v>
      </c>
      <c r="AF30" s="237">
        <v>43.356887840300104</v>
      </c>
      <c r="AG30" s="237">
        <v>0</v>
      </c>
      <c r="AH30" s="237">
        <v>5.9274836214149662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53.595134429521629</v>
      </c>
      <c r="AO30" s="239">
        <v>593.37068876852527</v>
      </c>
      <c r="AP30" s="241">
        <v>0</v>
      </c>
      <c r="AQ30" s="148">
        <v>2286.9204285308742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10.349736383050812</v>
      </c>
      <c r="M31" s="161"/>
      <c r="N31" s="161"/>
      <c r="O31" s="161"/>
      <c r="P31" s="252"/>
      <c r="Q31" s="203">
        <v>0.104</v>
      </c>
      <c r="R31" s="247"/>
      <c r="S31" s="203">
        <v>0</v>
      </c>
      <c r="T31" s="203">
        <v>1.5277363830508131</v>
      </c>
      <c r="U31" s="203">
        <v>8.718</v>
      </c>
      <c r="V31" s="203">
        <v>0</v>
      </c>
      <c r="W31" s="247"/>
      <c r="X31" s="250"/>
      <c r="Y31" s="252"/>
      <c r="Z31" s="161"/>
      <c r="AA31" s="159">
        <v>6.1606402296256277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18.392607489358127</v>
      </c>
      <c r="AP31" s="253"/>
      <c r="AQ31" s="160">
        <v>34.902984102034566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67.437300500686419</v>
      </c>
      <c r="M32" s="107"/>
      <c r="N32" s="107"/>
      <c r="O32" s="107"/>
      <c r="P32" s="252"/>
      <c r="Q32" s="257">
        <v>1.216</v>
      </c>
      <c r="R32" s="257"/>
      <c r="S32" s="257">
        <v>19.717286489081996</v>
      </c>
      <c r="T32" s="257">
        <v>33.736014011604418</v>
      </c>
      <c r="U32" s="257">
        <v>12.768000000000001</v>
      </c>
      <c r="V32" s="257">
        <v>0</v>
      </c>
      <c r="W32" s="257"/>
      <c r="X32" s="105"/>
      <c r="Y32" s="103"/>
      <c r="Z32" s="107"/>
      <c r="AA32" s="110">
        <v>321.4880017691512</v>
      </c>
      <c r="AB32" s="108">
        <v>38.88529612117496</v>
      </c>
      <c r="AC32" s="109"/>
      <c r="AD32" s="107"/>
      <c r="AE32" s="107">
        <v>32.957812499759996</v>
      </c>
      <c r="AF32" s="107"/>
      <c r="AG32" s="161"/>
      <c r="AH32" s="161">
        <v>5.9274836214149662</v>
      </c>
      <c r="AI32" s="161"/>
      <c r="AJ32" s="161"/>
      <c r="AK32" s="105"/>
      <c r="AL32" s="103"/>
      <c r="AM32" s="107"/>
      <c r="AN32" s="110"/>
      <c r="AO32" s="110">
        <v>95.068323548031131</v>
      </c>
      <c r="AP32" s="108"/>
      <c r="AQ32" s="111">
        <v>522.87892193904372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5.0076529956130624</v>
      </c>
      <c r="M33" s="107"/>
      <c r="N33" s="107"/>
      <c r="O33" s="107"/>
      <c r="P33" s="252"/>
      <c r="Q33" s="257">
        <v>0.156</v>
      </c>
      <c r="R33" s="257"/>
      <c r="S33" s="257">
        <v>0</v>
      </c>
      <c r="T33" s="257">
        <v>4.2836529956130631</v>
      </c>
      <c r="U33" s="257">
        <v>0.56799999999999995</v>
      </c>
      <c r="V33" s="257">
        <v>0</v>
      </c>
      <c r="W33" s="257"/>
      <c r="X33" s="105"/>
      <c r="Y33" s="103"/>
      <c r="Z33" s="107"/>
      <c r="AA33" s="110">
        <v>2.8955158718303595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3.1700230677088435</v>
      </c>
      <c r="AP33" s="108"/>
      <c r="AQ33" s="111">
        <v>11.073191935152266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3.2742860799301905</v>
      </c>
      <c r="M34" s="107"/>
      <c r="N34" s="107"/>
      <c r="O34" s="107"/>
      <c r="P34" s="252"/>
      <c r="Q34" s="257">
        <v>9.6000000000000002E-2</v>
      </c>
      <c r="R34" s="257"/>
      <c r="S34" s="257">
        <v>0</v>
      </c>
      <c r="T34" s="257">
        <v>0.81928607993019076</v>
      </c>
      <c r="U34" s="257">
        <v>2.359</v>
      </c>
      <c r="V34" s="257">
        <v>0</v>
      </c>
      <c r="W34" s="257"/>
      <c r="X34" s="105"/>
      <c r="Y34" s="103"/>
      <c r="Z34" s="107"/>
      <c r="AA34" s="110">
        <v>6.7779013650933413</v>
      </c>
      <c r="AB34" s="108">
        <v>104.02015429041532</v>
      </c>
      <c r="AC34" s="109"/>
      <c r="AD34" s="107"/>
      <c r="AE34" s="107">
        <v>104.02015429041532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26.395976005164545</v>
      </c>
      <c r="AP34" s="108"/>
      <c r="AQ34" s="111">
        <v>140.4683177406034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3.465904371974053</v>
      </c>
      <c r="M35" s="107"/>
      <c r="N35" s="107"/>
      <c r="O35" s="107"/>
      <c r="P35" s="252"/>
      <c r="Q35" s="257">
        <v>0.14199999999999999</v>
      </c>
      <c r="R35" s="257"/>
      <c r="S35" s="257">
        <v>0</v>
      </c>
      <c r="T35" s="257">
        <v>1.0769043719740532</v>
      </c>
      <c r="U35" s="257">
        <v>2.2469999999999999</v>
      </c>
      <c r="V35" s="257">
        <v>0</v>
      </c>
      <c r="W35" s="257"/>
      <c r="X35" s="105"/>
      <c r="Y35" s="103"/>
      <c r="Z35" s="107"/>
      <c r="AA35" s="110">
        <v>7.9607981592441917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13.654279201722183</v>
      </c>
      <c r="AP35" s="108"/>
      <c r="AQ35" s="111">
        <v>25.08098173294043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16.234468382542293</v>
      </c>
      <c r="M36" s="107"/>
      <c r="N36" s="107"/>
      <c r="O36" s="107"/>
      <c r="P36" s="252"/>
      <c r="Q36" s="247">
        <v>0.16200000000000001</v>
      </c>
      <c r="R36" s="257"/>
      <c r="S36" s="247">
        <v>2.9766947868000004</v>
      </c>
      <c r="T36" s="247">
        <v>2.953623673898238</v>
      </c>
      <c r="U36" s="247">
        <v>5.4580000000000002</v>
      </c>
      <c r="V36" s="247">
        <v>4.6841499218440523</v>
      </c>
      <c r="W36" s="257"/>
      <c r="X36" s="105"/>
      <c r="Y36" s="103"/>
      <c r="Z36" s="107"/>
      <c r="AA36" s="260">
        <v>123.72382199314823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88.501698029974165</v>
      </c>
      <c r="AP36" s="108"/>
      <c r="AQ36" s="111">
        <v>228.45998840566469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4.5279596517447196</v>
      </c>
      <c r="M37" s="107"/>
      <c r="N37" s="107"/>
      <c r="O37" s="107"/>
      <c r="P37" s="252"/>
      <c r="Q37" s="257">
        <v>0.43</v>
      </c>
      <c r="R37" s="257"/>
      <c r="S37" s="257">
        <v>0</v>
      </c>
      <c r="T37" s="257">
        <v>2.0519596517447192</v>
      </c>
      <c r="U37" s="257">
        <v>2.0459999999999998</v>
      </c>
      <c r="V37" s="257">
        <v>0</v>
      </c>
      <c r="W37" s="257"/>
      <c r="X37" s="105"/>
      <c r="Y37" s="103"/>
      <c r="Z37" s="107"/>
      <c r="AA37" s="110">
        <v>9.7407548153383594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21.66182429601043</v>
      </c>
      <c r="AP37" s="108"/>
      <c r="AQ37" s="111">
        <v>35.930538763093509</v>
      </c>
    </row>
    <row r="38" spans="1:43" ht="12.75" customHeight="1">
      <c r="A38" s="255" t="s">
        <v>123</v>
      </c>
      <c r="B38" s="259" t="s">
        <v>124</v>
      </c>
      <c r="C38" s="100">
        <v>76.09297317170001</v>
      </c>
      <c r="D38" s="109">
        <v>76.09297317170001</v>
      </c>
      <c r="E38" s="257"/>
      <c r="F38" s="257"/>
      <c r="G38" s="258"/>
      <c r="H38" s="104">
        <v>0</v>
      </c>
      <c r="I38" s="105"/>
      <c r="J38" s="106"/>
      <c r="K38" s="107"/>
      <c r="L38" s="104">
        <v>145.52279498809514</v>
      </c>
      <c r="M38" s="107"/>
      <c r="N38" s="107"/>
      <c r="O38" s="107"/>
      <c r="P38" s="252"/>
      <c r="Q38" s="257">
        <v>1.34</v>
      </c>
      <c r="R38" s="257"/>
      <c r="S38" s="257">
        <v>0</v>
      </c>
      <c r="T38" s="257">
        <v>2.2391822477068284</v>
      </c>
      <c r="U38" s="257">
        <v>21.193000000000001</v>
      </c>
      <c r="V38" s="257">
        <v>120.75061274038832</v>
      </c>
      <c r="W38" s="257"/>
      <c r="X38" s="105"/>
      <c r="Y38" s="103"/>
      <c r="Z38" s="107"/>
      <c r="AA38" s="110">
        <v>28.355854270413122</v>
      </c>
      <c r="AB38" s="108">
        <v>44.515849935612906</v>
      </c>
      <c r="AC38" s="109"/>
      <c r="AD38" s="107"/>
      <c r="AE38" s="107">
        <v>1.1589620953127999</v>
      </c>
      <c r="AF38" s="107">
        <v>43.356887840300104</v>
      </c>
      <c r="AG38" s="161"/>
      <c r="AH38" s="161"/>
      <c r="AI38" s="161"/>
      <c r="AJ38" s="161"/>
      <c r="AK38" s="105"/>
      <c r="AL38" s="103"/>
      <c r="AM38" s="107"/>
      <c r="AN38" s="110">
        <v>53.595134429521629</v>
      </c>
      <c r="AO38" s="110">
        <v>58.998347634328219</v>
      </c>
      <c r="AP38" s="108"/>
      <c r="AQ38" s="111">
        <v>407.08095442967107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9.7300214630308268</v>
      </c>
      <c r="M39" s="107"/>
      <c r="N39" s="107"/>
      <c r="O39" s="107"/>
      <c r="P39" s="252"/>
      <c r="Q39" s="257">
        <v>0.435</v>
      </c>
      <c r="R39" s="257"/>
      <c r="S39" s="257">
        <v>2.01041244999</v>
      </c>
      <c r="T39" s="257">
        <v>2.2886090130408254</v>
      </c>
      <c r="U39" s="257">
        <v>4.9960000000000004</v>
      </c>
      <c r="V39" s="257">
        <v>0</v>
      </c>
      <c r="W39" s="257"/>
      <c r="X39" s="105"/>
      <c r="Y39" s="103"/>
      <c r="Z39" s="107"/>
      <c r="AA39" s="110">
        <v>452.74420847096331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69.869981422531282</v>
      </c>
      <c r="AP39" s="108"/>
      <c r="AQ39" s="111">
        <v>532.34421135652542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5.314965435672919</v>
      </c>
      <c r="M40" s="107"/>
      <c r="N40" s="107"/>
      <c r="O40" s="107"/>
      <c r="P40" s="252"/>
      <c r="Q40" s="257">
        <v>0.38</v>
      </c>
      <c r="R40" s="257"/>
      <c r="S40" s="257">
        <v>0</v>
      </c>
      <c r="T40" s="257">
        <v>2.7229654356729194</v>
      </c>
      <c r="U40" s="257">
        <v>2.2120000000000002</v>
      </c>
      <c r="V40" s="257">
        <v>0</v>
      </c>
      <c r="W40" s="257"/>
      <c r="X40" s="105"/>
      <c r="Y40" s="103"/>
      <c r="Z40" s="107"/>
      <c r="AA40" s="110">
        <v>16.621158938685127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22.379151650264703</v>
      </c>
      <c r="AP40" s="108"/>
      <c r="AQ40" s="111">
        <v>44.315276024622747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3.9997732362312566</v>
      </c>
      <c r="M41" s="107"/>
      <c r="N41" s="107"/>
      <c r="O41" s="107"/>
      <c r="P41" s="252"/>
      <c r="Q41" s="247">
        <v>0.47899999999999998</v>
      </c>
      <c r="R41" s="257"/>
      <c r="S41" s="247">
        <v>0</v>
      </c>
      <c r="T41" s="247">
        <v>2.1777732362312565</v>
      </c>
      <c r="U41" s="247">
        <v>1.343</v>
      </c>
      <c r="V41" s="247">
        <v>0</v>
      </c>
      <c r="W41" s="257"/>
      <c r="X41" s="105"/>
      <c r="Y41" s="103"/>
      <c r="Z41" s="107"/>
      <c r="AA41" s="260">
        <v>20.397300697116087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104.62642340369871</v>
      </c>
      <c r="AP41" s="108"/>
      <c r="AQ41" s="111">
        <v>129.02349733704605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0.85750289196410012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0.33550289196410005</v>
      </c>
      <c r="U42" s="257">
        <v>0.44500000000000001</v>
      </c>
      <c r="V42" s="257">
        <v>0</v>
      </c>
      <c r="W42" s="257"/>
      <c r="X42" s="105"/>
      <c r="Y42" s="103"/>
      <c r="Z42" s="107"/>
      <c r="AA42" s="110">
        <v>1.9468042114993787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2.6698777945097212</v>
      </c>
      <c r="AP42" s="108"/>
      <c r="AQ42" s="111">
        <v>5.4741848979732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15.50346746175258</v>
      </c>
      <c r="M43" s="107"/>
      <c r="N43" s="107"/>
      <c r="O43" s="107"/>
      <c r="P43" s="103"/>
      <c r="Q43" s="257">
        <v>0.47799999999999998</v>
      </c>
      <c r="R43" s="257"/>
      <c r="S43" s="257">
        <v>4.531564296</v>
      </c>
      <c r="T43" s="257">
        <v>7.1519031657525796</v>
      </c>
      <c r="U43" s="257">
        <v>3.3420000000000001</v>
      </c>
      <c r="V43" s="257">
        <v>0</v>
      </c>
      <c r="W43" s="257"/>
      <c r="X43" s="105"/>
      <c r="Y43" s="103"/>
      <c r="Z43" s="107"/>
      <c r="AA43" s="110">
        <v>44.886481575896333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58.675706946606866</v>
      </c>
      <c r="AP43" s="108"/>
      <c r="AQ43" s="111">
        <v>119.06565598425578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38.044330396150066</v>
      </c>
      <c r="M44" s="166"/>
      <c r="N44" s="166"/>
      <c r="O44" s="166"/>
      <c r="P44" s="167"/>
      <c r="Q44" s="263">
        <v>0.84191754042827749</v>
      </c>
      <c r="R44" s="263"/>
      <c r="S44" s="263">
        <v>0</v>
      </c>
      <c r="T44" s="263">
        <v>0.63787173515613438</v>
      </c>
      <c r="U44" s="263">
        <v>36.564541120565657</v>
      </c>
      <c r="V44" s="263">
        <v>0</v>
      </c>
      <c r="W44" s="263"/>
      <c r="X44" s="165"/>
      <c r="Y44" s="167"/>
      <c r="Z44" s="166"/>
      <c r="AA44" s="172">
        <v>3.4709252074811507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9.3064682786164017</v>
      </c>
      <c r="AP44" s="170"/>
      <c r="AQ44" s="173">
        <v>50.821723882247618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3683.0094529057528</v>
      </c>
      <c r="M45" s="266">
        <v>0</v>
      </c>
      <c r="N45" s="266">
        <v>0</v>
      </c>
      <c r="O45" s="266">
        <v>0</v>
      </c>
      <c r="P45" s="266">
        <v>578.4274828444444</v>
      </c>
      <c r="Q45" s="266">
        <v>0</v>
      </c>
      <c r="R45" s="266">
        <v>397.88853593616</v>
      </c>
      <c r="S45" s="266">
        <v>0</v>
      </c>
      <c r="T45" s="266">
        <v>1.149825848563969</v>
      </c>
      <c r="U45" s="266">
        <v>2705.5436082765846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15.763830505057189</v>
      </c>
      <c r="AB45" s="271">
        <v>174.49234761926402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155.05738835673603</v>
      </c>
      <c r="AJ45" s="266">
        <v>19.434959262528004</v>
      </c>
      <c r="AK45" s="269">
        <v>0</v>
      </c>
      <c r="AL45" s="267">
        <v>0</v>
      </c>
      <c r="AM45" s="266">
        <v>0</v>
      </c>
      <c r="AN45" s="268">
        <v>0</v>
      </c>
      <c r="AO45" s="268">
        <v>8.1551064741332837</v>
      </c>
      <c r="AP45" s="271">
        <v>0</v>
      </c>
      <c r="AQ45" s="273">
        <v>3881.4207375042074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682.68227486858586</v>
      </c>
      <c r="M46" s="153"/>
      <c r="N46" s="153"/>
      <c r="O46" s="153"/>
      <c r="P46" s="153"/>
      <c r="Q46" s="153"/>
      <c r="R46" s="153"/>
      <c r="S46" s="153"/>
      <c r="T46" s="153"/>
      <c r="U46" s="153">
        <v>682.68227486858586</v>
      </c>
      <c r="V46" s="153"/>
      <c r="W46" s="154"/>
      <c r="X46" s="154"/>
      <c r="Y46" s="154"/>
      <c r="Z46" s="153"/>
      <c r="AA46" s="159">
        <v>0.588578868724</v>
      </c>
      <c r="AB46" s="157">
        <v>41.276525131414182</v>
      </c>
      <c r="AC46" s="158"/>
      <c r="AD46" s="153"/>
      <c r="AE46" s="153"/>
      <c r="AF46" s="153"/>
      <c r="AG46" s="153"/>
      <c r="AH46" s="153"/>
      <c r="AI46" s="153">
        <v>41.276525131414182</v>
      </c>
      <c r="AJ46" s="153">
        <v>0</v>
      </c>
      <c r="AK46" s="152"/>
      <c r="AL46" s="154"/>
      <c r="AM46" s="153"/>
      <c r="AN46" s="155"/>
      <c r="AO46" s="159"/>
      <c r="AP46" s="157"/>
      <c r="AQ46" s="186">
        <v>724.54737886872397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279.80478185913069</v>
      </c>
      <c r="M47" s="161"/>
      <c r="N47" s="161"/>
      <c r="O47" s="161"/>
      <c r="P47" s="161"/>
      <c r="Q47" s="161"/>
      <c r="R47" s="161"/>
      <c r="S47" s="161"/>
      <c r="T47" s="161"/>
      <c r="U47" s="161">
        <v>279.80478185913069</v>
      </c>
      <c r="V47" s="161"/>
      <c r="W47" s="252"/>
      <c r="X47" s="252"/>
      <c r="Y47" s="252"/>
      <c r="Z47" s="161"/>
      <c r="AA47" s="260"/>
      <c r="AB47" s="253">
        <v>16.917634360027126</v>
      </c>
      <c r="AC47" s="254"/>
      <c r="AD47" s="161"/>
      <c r="AE47" s="161"/>
      <c r="AF47" s="161"/>
      <c r="AG47" s="161"/>
      <c r="AH47" s="161"/>
      <c r="AI47" s="161">
        <v>16.917634360027126</v>
      </c>
      <c r="AJ47" s="161">
        <v>0</v>
      </c>
      <c r="AK47" s="250"/>
      <c r="AL47" s="252"/>
      <c r="AM47" s="161"/>
      <c r="AN47" s="249"/>
      <c r="AO47" s="260"/>
      <c r="AP47" s="253"/>
      <c r="AQ47" s="160">
        <v>296.72241621915782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1555.0727224155212</v>
      </c>
      <c r="M48" s="107"/>
      <c r="N48" s="107"/>
      <c r="O48" s="107"/>
      <c r="P48" s="107">
        <v>462.83622332787218</v>
      </c>
      <c r="Q48" s="107"/>
      <c r="R48" s="107"/>
      <c r="S48" s="107"/>
      <c r="T48" s="107">
        <v>1.149825848563969</v>
      </c>
      <c r="U48" s="107">
        <v>1091.086673239085</v>
      </c>
      <c r="V48" s="107"/>
      <c r="W48" s="103"/>
      <c r="X48" s="103"/>
      <c r="Y48" s="103"/>
      <c r="Z48" s="107"/>
      <c r="AA48" s="110"/>
      <c r="AB48" s="108">
        <v>81.541127940586989</v>
      </c>
      <c r="AC48" s="109"/>
      <c r="AD48" s="107"/>
      <c r="AE48" s="107"/>
      <c r="AF48" s="107"/>
      <c r="AG48" s="107"/>
      <c r="AH48" s="107"/>
      <c r="AI48" s="107">
        <v>65.969585188327201</v>
      </c>
      <c r="AJ48" s="107">
        <v>15.571542752259786</v>
      </c>
      <c r="AK48" s="105"/>
      <c r="AL48" s="103"/>
      <c r="AM48" s="107"/>
      <c r="AN48" s="104"/>
      <c r="AO48" s="110">
        <v>4.0078109981332846</v>
      </c>
      <c r="AP48" s="108"/>
      <c r="AQ48" s="111">
        <v>1640.6216613542415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111.30502589843638</v>
      </c>
      <c r="M49" s="107"/>
      <c r="N49" s="107"/>
      <c r="O49" s="107"/>
      <c r="P49" s="107">
        <v>3.0124084208548276</v>
      </c>
      <c r="Q49" s="107"/>
      <c r="R49" s="107"/>
      <c r="S49" s="107"/>
      <c r="T49" s="107"/>
      <c r="U49" s="107">
        <v>108.29261747758156</v>
      </c>
      <c r="V49" s="107"/>
      <c r="W49" s="103"/>
      <c r="X49" s="103"/>
      <c r="Y49" s="103"/>
      <c r="Z49" s="107"/>
      <c r="AA49" s="110"/>
      <c r="AB49" s="108">
        <v>6.648966980032931</v>
      </c>
      <c r="AC49" s="109"/>
      <c r="AD49" s="107"/>
      <c r="AE49" s="107"/>
      <c r="AF49" s="107"/>
      <c r="AG49" s="107"/>
      <c r="AH49" s="107"/>
      <c r="AI49" s="107">
        <v>6.5476182865894215</v>
      </c>
      <c r="AJ49" s="107">
        <v>0.10134869344350976</v>
      </c>
      <c r="AK49" s="105"/>
      <c r="AL49" s="103"/>
      <c r="AM49" s="107"/>
      <c r="AN49" s="104"/>
      <c r="AO49" s="110"/>
      <c r="AP49" s="108"/>
      <c r="AQ49" s="111">
        <v>117.95399287846931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31.717130424344884</v>
      </c>
      <c r="M50" s="107"/>
      <c r="N50" s="107"/>
      <c r="O50" s="107"/>
      <c r="P50" s="107"/>
      <c r="Q50" s="107"/>
      <c r="R50" s="279"/>
      <c r="S50" s="107"/>
      <c r="T50" s="107"/>
      <c r="U50" s="107">
        <v>31.717130424344884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4.147295476</v>
      </c>
      <c r="AP50" s="108"/>
      <c r="AQ50" s="111">
        <v>35.864425900344884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4.5622175577854263</v>
      </c>
      <c r="M51" s="107"/>
      <c r="N51" s="107"/>
      <c r="O51" s="107"/>
      <c r="P51" s="107">
        <v>0.75812222222222214</v>
      </c>
      <c r="Q51" s="107"/>
      <c r="R51" s="107">
        <v>3.8040953355632041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4.5622175577854263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394.08444060059679</v>
      </c>
      <c r="M52" s="279"/>
      <c r="N52" s="279"/>
      <c r="O52" s="279"/>
      <c r="P52" s="161"/>
      <c r="Q52" s="279"/>
      <c r="R52" s="279">
        <v>394.08444060059679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394.08444060059679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75.915199329403549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75.915199329403549</v>
      </c>
      <c r="V53" s="279"/>
      <c r="W53" s="281"/>
      <c r="X53" s="281"/>
      <c r="Y53" s="281"/>
      <c r="Z53" s="279"/>
      <c r="AA53" s="260"/>
      <c r="AB53" s="285">
        <v>4.5900058465405955</v>
      </c>
      <c r="AC53" s="286"/>
      <c r="AD53" s="279"/>
      <c r="AE53" s="279"/>
      <c r="AF53" s="279"/>
      <c r="AG53" s="279"/>
      <c r="AH53" s="279"/>
      <c r="AI53" s="107">
        <v>4.5900058465405955</v>
      </c>
      <c r="AJ53" s="107">
        <v>0</v>
      </c>
      <c r="AK53" s="279"/>
      <c r="AL53" s="279"/>
      <c r="AM53" s="279"/>
      <c r="AN53" s="260"/>
      <c r="AO53" s="110"/>
      <c r="AP53" s="285"/>
      <c r="AQ53" s="287">
        <v>80.505205175944141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109.29542099746408</v>
      </c>
      <c r="M54" s="279"/>
      <c r="N54" s="279"/>
      <c r="O54" s="279"/>
      <c r="P54" s="279"/>
      <c r="Q54" s="279"/>
      <c r="R54" s="279"/>
      <c r="S54" s="279"/>
      <c r="T54" s="279"/>
      <c r="U54" s="279">
        <v>109.29542099746408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109.29542099746408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438.57023895448401</v>
      </c>
      <c r="M55" s="166"/>
      <c r="N55" s="166"/>
      <c r="O55" s="166"/>
      <c r="P55" s="166">
        <v>111.82072887349516</v>
      </c>
      <c r="Q55" s="166"/>
      <c r="R55" s="166"/>
      <c r="S55" s="166">
        <v>0</v>
      </c>
      <c r="T55" s="166"/>
      <c r="U55" s="166">
        <v>326.74951008098884</v>
      </c>
      <c r="V55" s="166"/>
      <c r="W55" s="167"/>
      <c r="X55" s="167"/>
      <c r="Y55" s="167"/>
      <c r="Z55" s="166"/>
      <c r="AA55" s="172">
        <v>15.17525163633319</v>
      </c>
      <c r="AB55" s="170">
        <v>23.518087360662179</v>
      </c>
      <c r="AC55" s="171"/>
      <c r="AD55" s="166"/>
      <c r="AE55" s="166"/>
      <c r="AF55" s="166"/>
      <c r="AG55" s="166"/>
      <c r="AH55" s="166"/>
      <c r="AI55" s="166">
        <v>19.756019543837471</v>
      </c>
      <c r="AJ55" s="166">
        <v>3.7620678168247057</v>
      </c>
      <c r="AK55" s="165"/>
      <c r="AL55" s="167"/>
      <c r="AM55" s="166"/>
      <c r="AN55" s="168"/>
      <c r="AO55" s="172"/>
      <c r="AP55" s="170"/>
      <c r="AQ55" s="173">
        <v>477.26357795147942</v>
      </c>
    </row>
    <row r="56" spans="1:43" s="11" customFormat="1" ht="12.75" customHeight="1">
      <c r="A56" s="290" t="s">
        <v>146</v>
      </c>
      <c r="B56" s="291"/>
      <c r="C56" s="292">
        <v>195.34108491828835</v>
      </c>
      <c r="D56" s="293">
        <v>99.590526362601963</v>
      </c>
      <c r="E56" s="102">
        <v>88.555978011324342</v>
      </c>
      <c r="F56" s="294"/>
      <c r="G56" s="294">
        <v>7.1945805443620676</v>
      </c>
      <c r="H56" s="295">
        <v>189.34577988999999</v>
      </c>
      <c r="I56" s="293"/>
      <c r="J56" s="296">
        <v>127.70399999999999</v>
      </c>
      <c r="K56" s="184">
        <v>61.641779890000002</v>
      </c>
      <c r="L56" s="295">
        <v>1420.472576498905</v>
      </c>
      <c r="M56" s="184"/>
      <c r="N56" s="184"/>
      <c r="O56" s="184"/>
      <c r="P56" s="184">
        <v>0</v>
      </c>
      <c r="Q56" s="184">
        <v>1012.1856048794117</v>
      </c>
      <c r="R56" s="184"/>
      <c r="S56" s="184">
        <v>0</v>
      </c>
      <c r="T56" s="184">
        <v>55.28599763987048</v>
      </c>
      <c r="U56" s="184">
        <v>345.62390253904925</v>
      </c>
      <c r="V56" s="184">
        <v>7.3770714405734896</v>
      </c>
      <c r="W56" s="294"/>
      <c r="X56" s="294"/>
      <c r="Y56" s="294"/>
      <c r="Z56" s="184"/>
      <c r="AA56" s="295">
        <v>589.7586288</v>
      </c>
      <c r="AB56" s="297">
        <v>85.168310553773608</v>
      </c>
      <c r="AC56" s="298"/>
      <c r="AD56" s="184"/>
      <c r="AE56" s="184">
        <v>25.990764742939849</v>
      </c>
      <c r="AF56" s="184"/>
      <c r="AG56" s="184"/>
      <c r="AH56" s="184"/>
      <c r="AI56" s="184"/>
      <c r="AJ56" s="184"/>
      <c r="AK56" s="293"/>
      <c r="AL56" s="294">
        <v>13.898611915700407</v>
      </c>
      <c r="AM56" s="184">
        <v>45.278933895133342</v>
      </c>
      <c r="AN56" s="295"/>
      <c r="AO56" s="295">
        <v>749.58520472872397</v>
      </c>
      <c r="AP56" s="297"/>
      <c r="AQ56" s="185">
        <v>3229.6715853896912</v>
      </c>
    </row>
    <row r="57" spans="1:43" s="11" customFormat="1" ht="12.75" customHeight="1">
      <c r="A57" s="290" t="s">
        <v>171</v>
      </c>
      <c r="B57" s="291"/>
      <c r="C57" s="292">
        <v>0.18097278195488722</v>
      </c>
      <c r="D57" s="184">
        <v>0.18097278195488722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190.80206321434252</v>
      </c>
      <c r="M57" s="184">
        <v>0</v>
      </c>
      <c r="N57" s="184">
        <v>0</v>
      </c>
      <c r="O57" s="184">
        <v>0</v>
      </c>
      <c r="P57" s="184">
        <v>0</v>
      </c>
      <c r="Q57" s="184">
        <v>51.488999999999997</v>
      </c>
      <c r="R57" s="184">
        <v>0</v>
      </c>
      <c r="S57" s="184">
        <v>0.2093031229578676</v>
      </c>
      <c r="T57" s="184">
        <v>53.47976009138462</v>
      </c>
      <c r="U57" s="184">
        <v>85.624000000000009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307.58309429185033</v>
      </c>
      <c r="AB57" s="297">
        <v>42.66945057557237</v>
      </c>
      <c r="AC57" s="298">
        <v>0</v>
      </c>
      <c r="AD57" s="184">
        <v>0</v>
      </c>
      <c r="AE57" s="184">
        <v>15.687645253444149</v>
      </c>
      <c r="AF57" s="184">
        <v>0</v>
      </c>
      <c r="AG57" s="184">
        <v>0</v>
      </c>
      <c r="AH57" s="184">
        <v>6.2158591522956481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20.599451508175363</v>
      </c>
      <c r="AN57" s="295">
        <v>0</v>
      </c>
      <c r="AO57" s="295">
        <v>1064.4020702389535</v>
      </c>
      <c r="AP57" s="297">
        <v>0</v>
      </c>
      <c r="AQ57" s="299">
        <v>1605.6376511026735</v>
      </c>
    </row>
    <row r="58" spans="1:43" s="11" customFormat="1" ht="12.75" customHeight="1">
      <c r="A58" s="290" t="s">
        <v>172</v>
      </c>
      <c r="B58" s="291"/>
      <c r="C58" s="292">
        <v>0.17997293233082706</v>
      </c>
      <c r="D58" s="298">
        <v>0.17997293233082706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81.247707486888615</v>
      </c>
      <c r="M58" s="184">
        <v>0</v>
      </c>
      <c r="N58" s="294">
        <v>0</v>
      </c>
      <c r="O58" s="294">
        <v>0</v>
      </c>
      <c r="P58" s="297">
        <v>0</v>
      </c>
      <c r="Q58" s="297">
        <v>12.997999999999999</v>
      </c>
      <c r="R58" s="297">
        <v>0</v>
      </c>
      <c r="S58" s="297">
        <v>0</v>
      </c>
      <c r="T58" s="297">
        <v>31.58070748688861</v>
      </c>
      <c r="U58" s="297">
        <v>36.669000000000004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174.85997904124068</v>
      </c>
      <c r="AB58" s="297">
        <v>29.254631899703334</v>
      </c>
      <c r="AC58" s="298">
        <v>0</v>
      </c>
      <c r="AD58" s="184">
        <v>0</v>
      </c>
      <c r="AE58" s="184">
        <v>6.3421989754707626</v>
      </c>
      <c r="AF58" s="184"/>
      <c r="AG58" s="184">
        <v>0</v>
      </c>
      <c r="AH58" s="184">
        <v>2.1464867544000001</v>
      </c>
      <c r="AI58" s="184">
        <v>0</v>
      </c>
      <c r="AJ58" s="184">
        <v>0</v>
      </c>
      <c r="AK58" s="184"/>
      <c r="AL58" s="184">
        <v>0.16649466165720572</v>
      </c>
      <c r="AM58" s="294">
        <v>20.599451508175363</v>
      </c>
      <c r="AN58" s="295">
        <v>0</v>
      </c>
      <c r="AO58" s="295">
        <v>802.1557515094787</v>
      </c>
      <c r="AP58" s="297">
        <v>0</v>
      </c>
      <c r="AQ58" s="299">
        <v>1087.6980428696422</v>
      </c>
    </row>
    <row r="59" spans="1:43" s="11" customFormat="1" ht="12.75" customHeight="1">
      <c r="A59" s="98" t="s">
        <v>173</v>
      </c>
      <c r="B59" s="302" t="s">
        <v>174</v>
      </c>
      <c r="C59" s="151">
        <v>1.9996992481203005E-3</v>
      </c>
      <c r="D59" s="109">
        <v>1.9996992481203005E-3</v>
      </c>
      <c r="E59" s="157"/>
      <c r="F59" s="157"/>
      <c r="G59" s="200"/>
      <c r="H59" s="155">
        <v>0</v>
      </c>
      <c r="I59" s="275"/>
      <c r="J59" s="303"/>
      <c r="K59" s="275"/>
      <c r="L59" s="155">
        <v>25.943482725662726</v>
      </c>
      <c r="M59" s="202"/>
      <c r="N59" s="304"/>
      <c r="O59" s="304"/>
      <c r="P59" s="157"/>
      <c r="Q59" s="257">
        <v>4.97</v>
      </c>
      <c r="R59" s="157"/>
      <c r="S59" s="257">
        <v>0</v>
      </c>
      <c r="T59" s="257">
        <v>12.497482725662728</v>
      </c>
      <c r="U59" s="257">
        <v>8.4760000000000009</v>
      </c>
      <c r="V59" s="257">
        <v>0</v>
      </c>
      <c r="W59" s="157"/>
      <c r="X59" s="157"/>
      <c r="Y59" s="304"/>
      <c r="Z59" s="275"/>
      <c r="AA59" s="110">
        <v>41.207605208508753</v>
      </c>
      <c r="AB59" s="157">
        <v>1.878246468480457</v>
      </c>
      <c r="AC59" s="305"/>
      <c r="AD59" s="202"/>
      <c r="AE59" s="153">
        <v>1.878246468480457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201.95532005502022</v>
      </c>
      <c r="AP59" s="157"/>
      <c r="AQ59" s="186">
        <v>270.98665415692028</v>
      </c>
    </row>
    <row r="60" spans="1:43" s="11" customFormat="1" ht="12.75" customHeight="1">
      <c r="A60" s="98" t="s">
        <v>175</v>
      </c>
      <c r="B60" s="302" t="s">
        <v>176</v>
      </c>
      <c r="C60" s="100">
        <v>3.9993984962406011E-3</v>
      </c>
      <c r="D60" s="109">
        <v>3.9993984962406011E-3</v>
      </c>
      <c r="E60" s="108"/>
      <c r="F60" s="108"/>
      <c r="G60" s="306"/>
      <c r="H60" s="104">
        <v>0</v>
      </c>
      <c r="I60" s="101"/>
      <c r="J60" s="307"/>
      <c r="K60" s="101"/>
      <c r="L60" s="104">
        <v>19.381514730478472</v>
      </c>
      <c r="M60" s="112"/>
      <c r="N60" s="102"/>
      <c r="O60" s="102"/>
      <c r="P60" s="108"/>
      <c r="Q60" s="257">
        <v>0.91</v>
      </c>
      <c r="R60" s="108"/>
      <c r="S60" s="257">
        <v>0</v>
      </c>
      <c r="T60" s="257">
        <v>4.0395147304784729</v>
      </c>
      <c r="U60" s="257">
        <v>14.432</v>
      </c>
      <c r="V60" s="257">
        <v>0</v>
      </c>
      <c r="W60" s="108"/>
      <c r="X60" s="108"/>
      <c r="Y60" s="102"/>
      <c r="Z60" s="101"/>
      <c r="AA60" s="110">
        <v>13.775023957692184</v>
      </c>
      <c r="AB60" s="108">
        <v>1.0605732719885328E-2</v>
      </c>
      <c r="AC60" s="308"/>
      <c r="AD60" s="112"/>
      <c r="AE60" s="107">
        <v>1.0605732719885328E-2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45.138371942375926</v>
      </c>
      <c r="AP60" s="108"/>
      <c r="AQ60" s="111">
        <v>78.309515761762711</v>
      </c>
    </row>
    <row r="61" spans="1:43" s="11" customFormat="1" ht="12.75" customHeight="1">
      <c r="A61" s="98" t="s">
        <v>177</v>
      </c>
      <c r="B61" s="302" t="s">
        <v>178</v>
      </c>
      <c r="C61" s="100">
        <v>0.15197714285714287</v>
      </c>
      <c r="D61" s="109">
        <v>0.15197714285714287</v>
      </c>
      <c r="E61" s="108"/>
      <c r="F61" s="108"/>
      <c r="G61" s="306"/>
      <c r="H61" s="104">
        <v>0</v>
      </c>
      <c r="I61" s="101"/>
      <c r="J61" s="307"/>
      <c r="K61" s="101"/>
      <c r="L61" s="104">
        <v>15.624990458165259</v>
      </c>
      <c r="M61" s="112"/>
      <c r="N61" s="102"/>
      <c r="O61" s="102"/>
      <c r="P61" s="108"/>
      <c r="Q61" s="257">
        <v>2.548</v>
      </c>
      <c r="R61" s="108"/>
      <c r="S61" s="257">
        <v>0</v>
      </c>
      <c r="T61" s="257">
        <v>10.804990458165259</v>
      </c>
      <c r="U61" s="257">
        <v>2.2719999999999998</v>
      </c>
      <c r="V61" s="257">
        <v>0</v>
      </c>
      <c r="W61" s="108"/>
      <c r="X61" s="108"/>
      <c r="Y61" s="102"/>
      <c r="Z61" s="101"/>
      <c r="AA61" s="110">
        <v>26.369395707180665</v>
      </c>
      <c r="AB61" s="108">
        <v>1.5625729275661768</v>
      </c>
      <c r="AC61" s="308"/>
      <c r="AD61" s="112"/>
      <c r="AE61" s="107">
        <v>1.5625729275661768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80.505638526510964</v>
      </c>
      <c r="AP61" s="108"/>
      <c r="AQ61" s="111">
        <v>124.21457476228021</v>
      </c>
    </row>
    <row r="62" spans="1:43" s="11" customFormat="1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3.3877749837686753</v>
      </c>
      <c r="M62" s="112"/>
      <c r="N62" s="102"/>
      <c r="O62" s="102"/>
      <c r="P62" s="108"/>
      <c r="Q62" s="257">
        <v>0.60099999999999998</v>
      </c>
      <c r="R62" s="108"/>
      <c r="S62" s="257">
        <v>0</v>
      </c>
      <c r="T62" s="257">
        <v>0.82677498376867531</v>
      </c>
      <c r="U62" s="257">
        <v>1.96</v>
      </c>
      <c r="V62" s="257">
        <v>0</v>
      </c>
      <c r="W62" s="108"/>
      <c r="X62" s="108"/>
      <c r="Y62" s="102"/>
      <c r="Z62" s="101"/>
      <c r="AA62" s="110">
        <v>21.223308325669247</v>
      </c>
      <c r="AB62" s="108">
        <v>0.1622230123717838</v>
      </c>
      <c r="AC62" s="308"/>
      <c r="AD62" s="112"/>
      <c r="AE62" s="107">
        <v>0.1622230123717838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331.52740258606809</v>
      </c>
      <c r="AP62" s="108"/>
      <c r="AQ62" s="111">
        <v>356.31270710336651</v>
      </c>
    </row>
    <row r="63" spans="1:43" s="11" customFormat="1" ht="12.75" customHeight="1">
      <c r="A63" s="98" t="s">
        <v>181</v>
      </c>
      <c r="B63" s="302" t="s">
        <v>182</v>
      </c>
      <c r="C63" s="100">
        <v>6.9989473684210534E-3</v>
      </c>
      <c r="D63" s="286">
        <v>6.9989473684210534E-3</v>
      </c>
      <c r="E63" s="108"/>
      <c r="F63" s="108"/>
      <c r="G63" s="306"/>
      <c r="H63" s="104">
        <v>0</v>
      </c>
      <c r="I63" s="101"/>
      <c r="J63" s="307"/>
      <c r="K63" s="101"/>
      <c r="L63" s="104">
        <v>2.0262359113559283</v>
      </c>
      <c r="M63" s="112"/>
      <c r="N63" s="102"/>
      <c r="O63" s="102"/>
      <c r="P63" s="108"/>
      <c r="Q63" s="309">
        <v>0.92400000000000004</v>
      </c>
      <c r="R63" s="108"/>
      <c r="S63" s="309">
        <v>0</v>
      </c>
      <c r="T63" s="309">
        <v>0.17823591135592817</v>
      </c>
      <c r="U63" s="309">
        <v>0.92400000000000004</v>
      </c>
      <c r="V63" s="309">
        <v>0</v>
      </c>
      <c r="W63" s="108"/>
      <c r="X63" s="108"/>
      <c r="Y63" s="102"/>
      <c r="Z63" s="101"/>
      <c r="AA63" s="343">
        <v>18.166930460959424</v>
      </c>
      <c r="AB63" s="108">
        <v>0.86412429143988401</v>
      </c>
      <c r="AC63" s="308"/>
      <c r="AD63" s="112"/>
      <c r="AE63" s="107">
        <v>0.86412429143988401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53.022707971450181</v>
      </c>
      <c r="AP63" s="108"/>
      <c r="AQ63" s="111">
        <v>74.086997582573844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14.883708677457554</v>
      </c>
      <c r="M64" s="289"/>
      <c r="N64" s="313"/>
      <c r="O64" s="313"/>
      <c r="P64" s="170"/>
      <c r="Q64" s="309">
        <v>3.0449999999999999</v>
      </c>
      <c r="R64" s="170"/>
      <c r="S64" s="309">
        <v>0</v>
      </c>
      <c r="T64" s="309">
        <v>3.2337086774575536</v>
      </c>
      <c r="U64" s="309">
        <v>8.6050000000000004</v>
      </c>
      <c r="V64" s="309">
        <v>0</v>
      </c>
      <c r="W64" s="170"/>
      <c r="X64" s="170"/>
      <c r="Y64" s="313"/>
      <c r="Z64" s="288"/>
      <c r="AA64" s="343">
        <v>54.117715381230425</v>
      </c>
      <c r="AB64" s="170">
        <v>24.776859467125146</v>
      </c>
      <c r="AC64" s="314"/>
      <c r="AD64" s="289"/>
      <c r="AE64" s="166">
        <v>1.8644265428925761</v>
      </c>
      <c r="AF64" s="166"/>
      <c r="AG64" s="166"/>
      <c r="AH64" s="166">
        <v>2.1464867544000001</v>
      </c>
      <c r="AI64" s="166"/>
      <c r="AJ64" s="166"/>
      <c r="AK64" s="166"/>
      <c r="AL64" s="166">
        <v>0.16649466165720572</v>
      </c>
      <c r="AM64" s="167">
        <v>20.599451508175363</v>
      </c>
      <c r="AN64" s="168"/>
      <c r="AO64" s="343">
        <v>90.006310428053368</v>
      </c>
      <c r="AP64" s="170"/>
      <c r="AQ64" s="173">
        <v>183.78759350273867</v>
      </c>
    </row>
    <row r="65" spans="1:43" ht="12.75" customHeight="1">
      <c r="A65" s="290" t="s">
        <v>184</v>
      </c>
      <c r="B65" s="291"/>
      <c r="C65" s="164">
        <v>9.9984962406015026E-4</v>
      </c>
      <c r="D65" s="298">
        <v>9.9984962406015026E-4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109.5543557274539</v>
      </c>
      <c r="M65" s="166"/>
      <c r="N65" s="167"/>
      <c r="O65" s="167"/>
      <c r="P65" s="263"/>
      <c r="Q65" s="297">
        <v>38.491</v>
      </c>
      <c r="R65" s="263"/>
      <c r="S65" s="297">
        <v>0.2093031229578676</v>
      </c>
      <c r="T65" s="297">
        <v>21.899052604496013</v>
      </c>
      <c r="U65" s="297">
        <v>48.955000000000005</v>
      </c>
      <c r="V65" s="297">
        <v>0</v>
      </c>
      <c r="W65" s="263"/>
      <c r="X65" s="263"/>
      <c r="Y65" s="167"/>
      <c r="Z65" s="166"/>
      <c r="AA65" s="295">
        <v>132.72311525060962</v>
      </c>
      <c r="AB65" s="170">
        <v>13.414818675869034</v>
      </c>
      <c r="AC65" s="171"/>
      <c r="AD65" s="166"/>
      <c r="AE65" s="166">
        <v>9.3454462779733856</v>
      </c>
      <c r="AF65" s="166"/>
      <c r="AG65" s="166"/>
      <c r="AH65" s="166">
        <v>4.0693723978956484</v>
      </c>
      <c r="AI65" s="166"/>
      <c r="AJ65" s="166"/>
      <c r="AK65" s="166"/>
      <c r="AL65" s="166"/>
      <c r="AM65" s="167"/>
      <c r="AN65" s="168"/>
      <c r="AO65" s="295">
        <v>262.24631872947475</v>
      </c>
      <c r="AP65" s="170"/>
      <c r="AQ65" s="315">
        <v>517.93960823303132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7.5822607764707506</v>
      </c>
      <c r="M66" s="201"/>
      <c r="N66" s="203"/>
      <c r="O66" s="154"/>
      <c r="P66" s="203"/>
      <c r="Q66" s="203">
        <v>0.374</v>
      </c>
      <c r="R66" s="203"/>
      <c r="S66" s="203">
        <v>3.0274493938393668E-2</v>
      </c>
      <c r="T66" s="203">
        <v>2.0339862825323567</v>
      </c>
      <c r="U66" s="203">
        <v>5.1440000000000001</v>
      </c>
      <c r="V66" s="203">
        <v>0</v>
      </c>
      <c r="W66" s="203"/>
      <c r="X66" s="203"/>
      <c r="Y66" s="154"/>
      <c r="Z66" s="153"/>
      <c r="AA66" s="159">
        <v>10.384950982171935</v>
      </c>
      <c r="AB66" s="157">
        <v>4.0693723978956484</v>
      </c>
      <c r="AC66" s="158"/>
      <c r="AD66" s="153"/>
      <c r="AE66" s="153">
        <v>0</v>
      </c>
      <c r="AF66" s="153"/>
      <c r="AG66" s="153"/>
      <c r="AH66" s="153">
        <v>4.0693723978956484</v>
      </c>
      <c r="AI66" s="153"/>
      <c r="AJ66" s="153"/>
      <c r="AK66" s="153"/>
      <c r="AL66" s="153"/>
      <c r="AM66" s="154"/>
      <c r="AN66" s="155"/>
      <c r="AO66" s="159">
        <v>104.2630610757795</v>
      </c>
      <c r="AP66" s="157"/>
      <c r="AQ66" s="186">
        <v>126.29964523231783</v>
      </c>
    </row>
    <row r="67" spans="1:43" ht="12.75" customHeight="1">
      <c r="A67" s="319" t="s">
        <v>187</v>
      </c>
      <c r="B67" s="320">
        <v>84</v>
      </c>
      <c r="C67" s="100">
        <v>9.9984962406015026E-4</v>
      </c>
      <c r="D67" s="254">
        <v>9.9984962406015026E-4</v>
      </c>
      <c r="E67" s="257"/>
      <c r="F67" s="257"/>
      <c r="G67" s="258"/>
      <c r="H67" s="104">
        <v>0</v>
      </c>
      <c r="I67" s="321"/>
      <c r="J67" s="106"/>
      <c r="K67" s="322"/>
      <c r="L67" s="104">
        <v>35.884605925050998</v>
      </c>
      <c r="M67" s="321"/>
      <c r="N67" s="257"/>
      <c r="O67" s="103"/>
      <c r="P67" s="257"/>
      <c r="Q67" s="247">
        <v>6.6300000000000008</v>
      </c>
      <c r="R67" s="257"/>
      <c r="S67" s="247">
        <v>4.0256894642404555E-2</v>
      </c>
      <c r="T67" s="247">
        <v>7.8633490304085951</v>
      </c>
      <c r="U67" s="247">
        <v>21.350999999999999</v>
      </c>
      <c r="V67" s="247">
        <v>0</v>
      </c>
      <c r="W67" s="257"/>
      <c r="X67" s="257"/>
      <c r="Y67" s="103"/>
      <c r="Z67" s="107"/>
      <c r="AA67" s="260">
        <v>52.089357880317735</v>
      </c>
      <c r="AB67" s="108">
        <v>5.5236461675684136</v>
      </c>
      <c r="AC67" s="109"/>
      <c r="AD67" s="107"/>
      <c r="AE67" s="107">
        <v>5.5236461675684136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81.775318384987216</v>
      </c>
      <c r="AP67" s="108"/>
      <c r="AQ67" s="111">
        <v>175.27392820754841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43.959005941381584</v>
      </c>
      <c r="M68" s="321"/>
      <c r="N68" s="257"/>
      <c r="O68" s="103"/>
      <c r="P68" s="257"/>
      <c r="Q68" s="247">
        <v>20.127000000000002</v>
      </c>
      <c r="R68" s="257"/>
      <c r="S68" s="247">
        <v>2.0619385060743796E-2</v>
      </c>
      <c r="T68" s="247">
        <v>8.850386556320835</v>
      </c>
      <c r="U68" s="247">
        <v>14.961</v>
      </c>
      <c r="V68" s="247">
        <v>0</v>
      </c>
      <c r="W68" s="257"/>
      <c r="X68" s="257"/>
      <c r="Y68" s="103"/>
      <c r="Z68" s="107"/>
      <c r="AA68" s="260">
        <v>31.042623649158042</v>
      </c>
      <c r="AB68" s="108">
        <v>1.3497031688027867</v>
      </c>
      <c r="AC68" s="109"/>
      <c r="AD68" s="107"/>
      <c r="AE68" s="107">
        <v>1.3497031688027867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46.99903765603112</v>
      </c>
      <c r="AP68" s="108"/>
      <c r="AQ68" s="111">
        <v>123.35037041537353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22.128483084550549</v>
      </c>
      <c r="M69" s="323"/>
      <c r="N69" s="263"/>
      <c r="O69" s="167"/>
      <c r="P69" s="263"/>
      <c r="Q69" s="263">
        <v>11.36</v>
      </c>
      <c r="R69" s="263"/>
      <c r="S69" s="263">
        <v>0.11815234931632555</v>
      </c>
      <c r="T69" s="263">
        <v>3.1513307352342252</v>
      </c>
      <c r="U69" s="263">
        <v>7.4989999999999997</v>
      </c>
      <c r="V69" s="263">
        <v>0</v>
      </c>
      <c r="W69" s="263"/>
      <c r="X69" s="263"/>
      <c r="Y69" s="167"/>
      <c r="Z69" s="166"/>
      <c r="AA69" s="172">
        <v>39.206182738961928</v>
      </c>
      <c r="AB69" s="285">
        <v>2.4720969416021856</v>
      </c>
      <c r="AC69" s="286"/>
      <c r="AD69" s="279"/>
      <c r="AE69" s="279">
        <v>2.4720969416021856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29.208901612676939</v>
      </c>
      <c r="AP69" s="285"/>
      <c r="AQ69" s="287">
        <v>93.015664377791609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182.69679974339718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182.69679974339718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48.67377597727593</v>
      </c>
      <c r="AP70" s="195"/>
      <c r="AQ70" s="185">
        <v>231.37057572067312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19.178353095519864</v>
      </c>
      <c r="M71" s="166"/>
      <c r="N71" s="166"/>
      <c r="O71" s="166"/>
      <c r="P71" s="166"/>
      <c r="Q71" s="166"/>
      <c r="R71" s="166"/>
      <c r="S71" s="166"/>
      <c r="T71" s="166"/>
      <c r="U71" s="289">
        <v>19.178353095519864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19.178353095519864</v>
      </c>
    </row>
    <row r="72" spans="1:43" ht="12.75" customHeight="1" thickBot="1">
      <c r="A72" s="218" t="s">
        <v>149</v>
      </c>
      <c r="B72" s="219"/>
      <c r="C72" s="220">
        <v>4.7818576155598862</v>
      </c>
      <c r="D72" s="221">
        <v>6.9232441032123688</v>
      </c>
      <c r="E72" s="222">
        <v>-0.82006130934279042</v>
      </c>
      <c r="F72" s="226">
        <v>0</v>
      </c>
      <c r="G72" s="226">
        <v>-1.3213251783097695</v>
      </c>
      <c r="H72" s="223">
        <v>2.0639252414974862</v>
      </c>
      <c r="I72" s="221">
        <v>0.3616933114974703</v>
      </c>
      <c r="J72" s="224">
        <v>0</v>
      </c>
      <c r="K72" s="222">
        <v>1.7022319300000035</v>
      </c>
      <c r="L72" s="223">
        <v>-40.570552148855313</v>
      </c>
      <c r="M72" s="222">
        <v>0</v>
      </c>
      <c r="N72" s="222">
        <v>-3.5060042166747962E-2</v>
      </c>
      <c r="O72" s="222">
        <v>-3.355672788399005</v>
      </c>
      <c r="P72" s="222">
        <v>-18.968490166666584</v>
      </c>
      <c r="Q72" s="222">
        <v>-2.2448913177599934</v>
      </c>
      <c r="R72" s="222">
        <v>0.94190214936003258</v>
      </c>
      <c r="S72" s="222">
        <v>2.8303338050878679</v>
      </c>
      <c r="T72" s="222">
        <v>12.449818052148856</v>
      </c>
      <c r="U72" s="222">
        <v>-33.278193584268138</v>
      </c>
      <c r="V72" s="222">
        <v>1.0896146443623707</v>
      </c>
      <c r="W72" s="226">
        <v>8.7099447514837891E-5</v>
      </c>
      <c r="X72" s="226">
        <v>0</v>
      </c>
      <c r="Y72" s="226">
        <v>0</v>
      </c>
      <c r="Z72" s="222">
        <v>0</v>
      </c>
      <c r="AA72" s="223">
        <v>-67.629803014960316</v>
      </c>
      <c r="AB72" s="225">
        <v>-5.1676729230843534</v>
      </c>
      <c r="AC72" s="331">
        <v>0</v>
      </c>
      <c r="AD72" s="222">
        <v>0</v>
      </c>
      <c r="AE72" s="222">
        <v>-8.0584840324925437</v>
      </c>
      <c r="AF72" s="222">
        <v>0</v>
      </c>
      <c r="AG72" s="222">
        <v>0</v>
      </c>
      <c r="AH72" s="222">
        <v>0</v>
      </c>
      <c r="AI72" s="222">
        <v>1.8434838842879913</v>
      </c>
      <c r="AJ72" s="222">
        <v>1.0473272251199965</v>
      </c>
      <c r="AK72" s="221">
        <v>0</v>
      </c>
      <c r="AL72" s="226">
        <v>0</v>
      </c>
      <c r="AM72" s="222">
        <v>0</v>
      </c>
      <c r="AN72" s="223">
        <v>0</v>
      </c>
      <c r="AO72" s="223">
        <v>-24.135875701462737</v>
      </c>
      <c r="AP72" s="225">
        <v>0</v>
      </c>
      <c r="AQ72" s="227">
        <v>-130.65812093130535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195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437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438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BB15" sqref="BB15"/>
    </sheetView>
  </sheetViews>
  <sheetFormatPr defaultColWidth="9.1796875" defaultRowHeight="13"/>
  <cols>
    <col min="1" max="1" width="38.1796875" style="13" customWidth="1"/>
    <col min="2" max="2" width="13" style="7" bestFit="1" customWidth="1"/>
    <col min="3" max="4" width="7.54296875" style="12" bestFit="1" customWidth="1"/>
    <col min="5" max="5" width="9.1796875" style="12"/>
    <col min="6" max="6" width="6.1796875" style="14" customWidth="1"/>
    <col min="7" max="7" width="5.81640625" style="14" bestFit="1" customWidth="1"/>
    <col min="8" max="8" width="7.26953125" style="12" bestFit="1" customWidth="1"/>
    <col min="9" max="9" width="6.81640625" style="14" bestFit="1" customWidth="1"/>
    <col min="10" max="10" width="6" style="14" bestFit="1" customWidth="1"/>
    <col min="11" max="11" width="6.81640625" style="14" bestFit="1" customWidth="1"/>
    <col min="12" max="12" width="8.7265625" style="11" bestFit="1" customWidth="1"/>
    <col min="13" max="13" width="8.1796875" style="7" bestFit="1" customWidth="1"/>
    <col min="14" max="14" width="8.1796875" style="7" customWidth="1"/>
    <col min="15" max="15" width="5.26953125" style="7" customWidth="1"/>
    <col min="16" max="16" width="7.453125" style="7" customWidth="1"/>
    <col min="17" max="17" width="7.453125" style="7" bestFit="1" customWidth="1"/>
    <col min="18" max="18" width="8.1796875" style="7" bestFit="1" customWidth="1"/>
    <col min="19" max="19" width="7.26953125" style="7" bestFit="1" customWidth="1"/>
    <col min="20" max="20" width="7.453125" style="7" bestFit="1" customWidth="1"/>
    <col min="21" max="21" width="8.453125" style="7" bestFit="1" customWidth="1"/>
    <col min="22" max="22" width="6.81640625" style="7" bestFit="1" customWidth="1"/>
    <col min="23" max="25" width="5.453125" style="7" customWidth="1"/>
    <col min="26" max="26" width="5.453125" style="14" customWidth="1"/>
    <col min="27" max="27" width="8.1796875" style="11" bestFit="1" customWidth="1"/>
    <col min="28" max="28" width="8.26953125" style="11" bestFit="1" customWidth="1"/>
    <col min="29" max="33" width="5.54296875" style="7" customWidth="1"/>
    <col min="34" max="34" width="6" style="7" customWidth="1"/>
    <col min="35" max="36" width="7" style="7" customWidth="1"/>
    <col min="37" max="40" width="5.54296875" style="7" customWidth="1"/>
    <col min="41" max="41" width="8.7265625" style="11" bestFit="1" customWidth="1"/>
    <col min="42" max="42" width="4.453125" style="11" bestFit="1" customWidth="1"/>
    <col min="43" max="43" width="9.26953125" style="7" bestFit="1" customWidth="1"/>
    <col min="44" max="16384" width="9.1796875" style="7"/>
  </cols>
  <sheetData>
    <row r="1" spans="1:43" ht="105.75" customHeight="1" thickBot="1">
      <c r="A1" s="72" t="s">
        <v>440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1258.1586865025404</v>
      </c>
      <c r="AB2" s="94">
        <v>1514.0076975228965</v>
      </c>
      <c r="AC2" s="95">
        <v>64.443382927957998</v>
      </c>
      <c r="AD2" s="91">
        <v>840.94072444363735</v>
      </c>
      <c r="AE2" s="91">
        <v>232.151459239064</v>
      </c>
      <c r="AF2" s="91">
        <v>143.78048516173769</v>
      </c>
      <c r="AG2" s="91">
        <v>29.401516213591378</v>
      </c>
      <c r="AH2" s="91">
        <v>22.674403886425171</v>
      </c>
      <c r="AI2" s="91">
        <v>77.439658992959991</v>
      </c>
      <c r="AJ2" s="91">
        <v>3.1832405268479995</v>
      </c>
      <c r="AK2" s="89">
        <v>6.863859457126229</v>
      </c>
      <c r="AL2" s="89">
        <v>14.011375971201144</v>
      </c>
      <c r="AM2" s="87">
        <v>79.117590702347485</v>
      </c>
      <c r="AN2" s="96">
        <v>142.93598051955109</v>
      </c>
      <c r="AO2" s="96"/>
      <c r="AP2" s="94"/>
      <c r="AQ2" s="97">
        <v>3042.8063645449874</v>
      </c>
    </row>
    <row r="3" spans="1:43" ht="12.75" customHeight="1">
      <c r="A3" s="98" t="s">
        <v>94</v>
      </c>
      <c r="B3" s="99"/>
      <c r="C3" s="100">
        <v>1004.5762102758825</v>
      </c>
      <c r="D3" s="101">
        <v>915.78927249829644</v>
      </c>
      <c r="E3" s="102">
        <v>74.320506393685122</v>
      </c>
      <c r="F3" s="103"/>
      <c r="G3" s="103">
        <v>14.466431383900925</v>
      </c>
      <c r="H3" s="104">
        <v>0</v>
      </c>
      <c r="I3" s="105"/>
      <c r="J3" s="106"/>
      <c r="K3" s="107"/>
      <c r="L3" s="104">
        <v>8488.3453050487296</v>
      </c>
      <c r="M3" s="105">
        <v>3118.6115255463997</v>
      </c>
      <c r="N3" s="105">
        <v>6.1836804383999997</v>
      </c>
      <c r="O3" s="107">
        <v>0</v>
      </c>
      <c r="P3" s="107">
        <v>208.01548286666664</v>
      </c>
      <c r="Q3" s="107">
        <v>366.79325714303997</v>
      </c>
      <c r="R3" s="107">
        <v>755.11072702535967</v>
      </c>
      <c r="S3" s="107">
        <v>365.54681743644068</v>
      </c>
      <c r="T3" s="107">
        <v>163.43759826302875</v>
      </c>
      <c r="U3" s="107">
        <v>2914.9405885267965</v>
      </c>
      <c r="V3" s="107">
        <v>196.97910297201904</v>
      </c>
      <c r="W3" s="103">
        <v>0</v>
      </c>
      <c r="X3" s="103">
        <v>336.39502795715299</v>
      </c>
      <c r="Y3" s="103">
        <v>1.0421827030690023</v>
      </c>
      <c r="Z3" s="107">
        <v>55.28931417035534</v>
      </c>
      <c r="AA3" s="104">
        <v>3125.5692350126933</v>
      </c>
      <c r="AB3" s="108">
        <v>148.79802817838402</v>
      </c>
      <c r="AC3" s="109"/>
      <c r="AD3" s="107"/>
      <c r="AE3" s="107">
        <v>38.75679984384</v>
      </c>
      <c r="AF3" s="107"/>
      <c r="AG3" s="107"/>
      <c r="AH3" s="107"/>
      <c r="AI3" s="107">
        <v>92.660886266496007</v>
      </c>
      <c r="AJ3" s="107">
        <v>17.380342068047998</v>
      </c>
      <c r="AK3" s="105"/>
      <c r="AL3" s="105"/>
      <c r="AM3" s="103"/>
      <c r="AN3" s="110"/>
      <c r="AO3" s="110">
        <v>210.76152354000004</v>
      </c>
      <c r="AP3" s="108"/>
      <c r="AQ3" s="111">
        <v>12978.05030205569</v>
      </c>
    </row>
    <row r="4" spans="1:43" ht="12.75" customHeight="1">
      <c r="A4" s="98" t="s">
        <v>95</v>
      </c>
      <c r="B4" s="99"/>
      <c r="C4" s="100">
        <v>35.287254949547993</v>
      </c>
      <c r="D4" s="101">
        <v>0</v>
      </c>
      <c r="E4" s="112">
        <v>34.051923574499995</v>
      </c>
      <c r="F4" s="103"/>
      <c r="G4" s="103">
        <v>1.2353313750479997</v>
      </c>
      <c r="H4" s="104">
        <v>2.6034888500000002</v>
      </c>
      <c r="I4" s="105"/>
      <c r="J4" s="106"/>
      <c r="K4" s="107">
        <v>2.6034888500000002</v>
      </c>
      <c r="L4" s="104">
        <v>1710.8017710283937</v>
      </c>
      <c r="M4" s="105">
        <v>84.3463345336</v>
      </c>
      <c r="N4" s="105">
        <v>0</v>
      </c>
      <c r="O4" s="107"/>
      <c r="P4" s="107">
        <v>327.14106575555553</v>
      </c>
      <c r="Q4" s="107">
        <v>0</v>
      </c>
      <c r="R4" s="107">
        <v>140.76404928983999</v>
      </c>
      <c r="S4" s="107">
        <v>947.24915747909608</v>
      </c>
      <c r="T4" s="107">
        <v>22.034979663550917</v>
      </c>
      <c r="U4" s="107">
        <v>76.071455697717667</v>
      </c>
      <c r="V4" s="107">
        <v>2.6056038479729717</v>
      </c>
      <c r="W4" s="103">
        <v>96.129826777624302</v>
      </c>
      <c r="X4" s="103">
        <v>5.0445843351497608</v>
      </c>
      <c r="Y4" s="103">
        <v>7.749380876251688E-2</v>
      </c>
      <c r="Z4" s="107">
        <v>9.3372198395237831</v>
      </c>
      <c r="AA4" s="104">
        <v>0</v>
      </c>
      <c r="AB4" s="108">
        <v>17.509651322400003</v>
      </c>
      <c r="AC4" s="109"/>
      <c r="AD4" s="107"/>
      <c r="AE4" s="107">
        <v>1.8328377599999997E-2</v>
      </c>
      <c r="AF4" s="107"/>
      <c r="AG4" s="107"/>
      <c r="AH4" s="107"/>
      <c r="AI4" s="107">
        <v>17.491322944800004</v>
      </c>
      <c r="AJ4" s="107">
        <v>0</v>
      </c>
      <c r="AK4" s="105"/>
      <c r="AL4" s="105"/>
      <c r="AM4" s="103"/>
      <c r="AN4" s="110"/>
      <c r="AO4" s="110">
        <v>74.228516079999991</v>
      </c>
      <c r="AP4" s="108"/>
      <c r="AQ4" s="111">
        <v>1840.4306822303417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171.78193617661432</v>
      </c>
      <c r="M5" s="105"/>
      <c r="N5" s="105"/>
      <c r="O5" s="107"/>
      <c r="P5" s="107"/>
      <c r="Q5" s="107"/>
      <c r="R5" s="107"/>
      <c r="S5" s="107">
        <v>6.7254842449152532</v>
      </c>
      <c r="T5" s="107"/>
      <c r="U5" s="107">
        <v>165.05645193169906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171.78193617661432</v>
      </c>
    </row>
    <row r="6" spans="1:43" ht="12.75" customHeight="1" thickBot="1">
      <c r="A6" s="113" t="s">
        <v>97</v>
      </c>
      <c r="B6" s="114"/>
      <c r="C6" s="100">
        <v>-55.44523888337612</v>
      </c>
      <c r="D6" s="115">
        <v>-52.61079894179997</v>
      </c>
      <c r="E6" s="103">
        <v>-2.6499717788999857</v>
      </c>
      <c r="F6" s="116"/>
      <c r="G6" s="116">
        <v>-0.18446816267615943</v>
      </c>
      <c r="H6" s="117">
        <v>139.90350040164418</v>
      </c>
      <c r="I6" s="118">
        <v>139.81662440702419</v>
      </c>
      <c r="J6" s="119">
        <v>0</v>
      </c>
      <c r="K6" s="118">
        <v>8.6875994620000146E-2</v>
      </c>
      <c r="L6" s="117">
        <v>112.27075689688141</v>
      </c>
      <c r="M6" s="105">
        <v>58.858587873200001</v>
      </c>
      <c r="N6" s="105">
        <v>-3.2775450167999982</v>
      </c>
      <c r="O6" s="107"/>
      <c r="P6" s="107">
        <v>147.58484185555557</v>
      </c>
      <c r="Q6" s="107">
        <v>-9.320267349120007</v>
      </c>
      <c r="R6" s="107">
        <v>135.29433232895994</v>
      </c>
      <c r="S6" s="107">
        <v>-14.689704670903957</v>
      </c>
      <c r="T6" s="107">
        <v>-6.3770406106005222</v>
      </c>
      <c r="U6" s="107">
        <v>-179.85481354184273</v>
      </c>
      <c r="V6" s="107">
        <v>-18.754032607616633</v>
      </c>
      <c r="W6" s="116">
        <v>2.8063986360497242</v>
      </c>
      <c r="X6" s="116">
        <v>0</v>
      </c>
      <c r="Y6" s="116">
        <v>0</v>
      </c>
      <c r="Z6" s="118">
        <v>0</v>
      </c>
      <c r="AA6" s="117">
        <v>0</v>
      </c>
      <c r="AB6" s="120">
        <v>2.9078283085644001</v>
      </c>
      <c r="AC6" s="121"/>
      <c r="AD6" s="122"/>
      <c r="AE6" s="122">
        <v>-3.8697442228116001</v>
      </c>
      <c r="AF6" s="122"/>
      <c r="AG6" s="122"/>
      <c r="AH6" s="122"/>
      <c r="AI6" s="122">
        <v>7.4291305847039997</v>
      </c>
      <c r="AJ6" s="122">
        <v>-0.65155805332799943</v>
      </c>
      <c r="AK6" s="118"/>
      <c r="AL6" s="118"/>
      <c r="AM6" s="116"/>
      <c r="AN6" s="123"/>
      <c r="AO6" s="123"/>
      <c r="AP6" s="120"/>
      <c r="AQ6" s="124">
        <v>199.63684672371389</v>
      </c>
    </row>
    <row r="7" spans="1:43" s="11" customFormat="1" ht="12.75" customHeight="1">
      <c r="A7" s="125" t="s">
        <v>98</v>
      </c>
      <c r="B7" s="126"/>
      <c r="C7" s="127">
        <v>913.84371644295845</v>
      </c>
      <c r="D7" s="128">
        <v>863.17847355649644</v>
      </c>
      <c r="E7" s="129">
        <v>37.618611040285138</v>
      </c>
      <c r="F7" s="129">
        <v>0</v>
      </c>
      <c r="G7" s="129">
        <v>13.046631846176766</v>
      </c>
      <c r="H7" s="130">
        <v>265.00401155164417</v>
      </c>
      <c r="I7" s="128">
        <v>139.81662440702419</v>
      </c>
      <c r="J7" s="131">
        <v>127.70399999999999</v>
      </c>
      <c r="K7" s="129">
        <v>-2.51661285538</v>
      </c>
      <c r="L7" s="130">
        <v>6718.0323547406033</v>
      </c>
      <c r="M7" s="128">
        <v>3093.1237788859999</v>
      </c>
      <c r="N7" s="128">
        <v>2.9061354216000015</v>
      </c>
      <c r="O7" s="129">
        <v>0</v>
      </c>
      <c r="P7" s="129">
        <v>28.459258966666681</v>
      </c>
      <c r="Q7" s="129">
        <v>357.47298979391996</v>
      </c>
      <c r="R7" s="129">
        <v>749.6410100644797</v>
      </c>
      <c r="S7" s="129">
        <v>-603.11752895847462</v>
      </c>
      <c r="T7" s="129">
        <v>135.0255779888773</v>
      </c>
      <c r="U7" s="129">
        <v>2493.957867355537</v>
      </c>
      <c r="V7" s="129">
        <v>175.61946651642944</v>
      </c>
      <c r="W7" s="129">
        <v>-93.323428141574581</v>
      </c>
      <c r="X7" s="129">
        <v>331.35044362200324</v>
      </c>
      <c r="Y7" s="129">
        <v>0.96468889430648541</v>
      </c>
      <c r="Z7" s="129">
        <v>45.952094330831557</v>
      </c>
      <c r="AA7" s="130">
        <v>4383.7279215152339</v>
      </c>
      <c r="AB7" s="130">
        <v>1648.203902687445</v>
      </c>
      <c r="AC7" s="128">
        <v>64.443382927957998</v>
      </c>
      <c r="AD7" s="129">
        <v>840.94072444363735</v>
      </c>
      <c r="AE7" s="129">
        <v>267.02018648249236</v>
      </c>
      <c r="AF7" s="129">
        <v>143.78048516173769</v>
      </c>
      <c r="AG7" s="129">
        <v>29.401516213591378</v>
      </c>
      <c r="AH7" s="129">
        <v>22.674403886425171</v>
      </c>
      <c r="AI7" s="129">
        <v>160.03835289936001</v>
      </c>
      <c r="AJ7" s="129">
        <v>19.912024541567998</v>
      </c>
      <c r="AK7" s="132">
        <v>6.863859457126229</v>
      </c>
      <c r="AL7" s="132">
        <v>14.011375971201144</v>
      </c>
      <c r="AM7" s="128">
        <v>79.117590702347485</v>
      </c>
      <c r="AN7" s="130">
        <v>142.93598051955109</v>
      </c>
      <c r="AO7" s="130">
        <v>136.53300746000005</v>
      </c>
      <c r="AP7" s="133">
        <v>0</v>
      </c>
      <c r="AQ7" s="134">
        <v>14208.280894917436</v>
      </c>
    </row>
    <row r="8" spans="1:43" s="11" customFormat="1" ht="12.75" customHeight="1" thickBot="1">
      <c r="A8" s="135" t="s">
        <v>99</v>
      </c>
      <c r="B8" s="136"/>
      <c r="C8" s="137">
        <v>913.84371644295845</v>
      </c>
      <c r="D8" s="138">
        <v>863.17847355649644</v>
      </c>
      <c r="E8" s="139">
        <v>37.618611040285138</v>
      </c>
      <c r="F8" s="140">
        <v>0</v>
      </c>
      <c r="G8" s="140">
        <v>13.046631846176766</v>
      </c>
      <c r="H8" s="141">
        <v>265.00401155164417</v>
      </c>
      <c r="I8" s="138">
        <v>139.81662440702419</v>
      </c>
      <c r="J8" s="142">
        <v>127.70399999999999</v>
      </c>
      <c r="K8" s="139">
        <v>-2.51661285538</v>
      </c>
      <c r="L8" s="141">
        <v>6339.7651278934618</v>
      </c>
      <c r="M8" s="138">
        <v>3093.1237788859999</v>
      </c>
      <c r="N8" s="138">
        <v>2.9061354216000015</v>
      </c>
      <c r="O8" s="139">
        <v>0</v>
      </c>
      <c r="P8" s="139">
        <v>28.459258966666681</v>
      </c>
      <c r="Q8" s="139">
        <v>357.47298979391996</v>
      </c>
      <c r="R8" s="139">
        <v>749.6410100644797</v>
      </c>
      <c r="S8" s="139">
        <v>-603.11752895847462</v>
      </c>
      <c r="T8" s="139">
        <v>135.0255779888773</v>
      </c>
      <c r="U8" s="139">
        <v>2493.957867355537</v>
      </c>
      <c r="V8" s="139">
        <v>175.61946651642944</v>
      </c>
      <c r="W8" s="140">
        <v>-93.323428141574581</v>
      </c>
      <c r="X8" s="140">
        <v>0</v>
      </c>
      <c r="Y8" s="140">
        <v>0</v>
      </c>
      <c r="Z8" s="139">
        <v>0</v>
      </c>
      <c r="AA8" s="141">
        <v>4383.7279215152339</v>
      </c>
      <c r="AB8" s="143">
        <v>1648.203902687445</v>
      </c>
      <c r="AC8" s="138">
        <v>64.443382927957998</v>
      </c>
      <c r="AD8" s="139">
        <v>840.94072444363735</v>
      </c>
      <c r="AE8" s="139">
        <v>267.02018648249236</v>
      </c>
      <c r="AF8" s="139">
        <v>143.78048516173769</v>
      </c>
      <c r="AG8" s="139">
        <v>29.401516213591378</v>
      </c>
      <c r="AH8" s="139">
        <v>22.674403886425171</v>
      </c>
      <c r="AI8" s="139">
        <v>160.03835289936001</v>
      </c>
      <c r="AJ8" s="139">
        <v>19.912024541567998</v>
      </c>
      <c r="AK8" s="144">
        <v>6.863859457126229</v>
      </c>
      <c r="AL8" s="144">
        <v>14.011375971201144</v>
      </c>
      <c r="AM8" s="138">
        <v>79.117590702347485</v>
      </c>
      <c r="AN8" s="141">
        <v>142.93598051955109</v>
      </c>
      <c r="AO8" s="141">
        <v>136.53300746000005</v>
      </c>
      <c r="AP8" s="138">
        <v>0</v>
      </c>
      <c r="AQ8" s="145">
        <v>13830.013668070294</v>
      </c>
    </row>
    <row r="9" spans="1:43" s="11" customFormat="1" ht="12.75" customHeight="1">
      <c r="A9" s="125" t="s">
        <v>100</v>
      </c>
      <c r="B9" s="126"/>
      <c r="C9" s="127">
        <v>672.76181752483296</v>
      </c>
      <c r="D9" s="132">
        <v>672.76181752483296</v>
      </c>
      <c r="E9" s="129">
        <v>0</v>
      </c>
      <c r="F9" s="146">
        <v>0</v>
      </c>
      <c r="G9" s="146">
        <v>0</v>
      </c>
      <c r="H9" s="130">
        <v>129.36175734289282</v>
      </c>
      <c r="I9" s="132">
        <v>129.36175734289282</v>
      </c>
      <c r="J9" s="131">
        <v>0</v>
      </c>
      <c r="K9" s="129">
        <v>0</v>
      </c>
      <c r="L9" s="130">
        <v>3488.1701553068197</v>
      </c>
      <c r="M9" s="129">
        <v>3093.1237788859994</v>
      </c>
      <c r="N9" s="129">
        <v>35.136316982680086</v>
      </c>
      <c r="O9" s="129">
        <v>0</v>
      </c>
      <c r="P9" s="129">
        <v>0</v>
      </c>
      <c r="Q9" s="129">
        <v>0</v>
      </c>
      <c r="R9" s="129">
        <v>0</v>
      </c>
      <c r="S9" s="129">
        <v>328.83388410655067</v>
      </c>
      <c r="T9" s="129">
        <v>0.45660113346239994</v>
      </c>
      <c r="U9" s="129">
        <v>30.61957419812699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2375.4471599088865</v>
      </c>
      <c r="AB9" s="128">
        <v>237.91071045662861</v>
      </c>
      <c r="AC9" s="147">
        <v>0</v>
      </c>
      <c r="AD9" s="129">
        <v>0</v>
      </c>
      <c r="AE9" s="129">
        <v>101.52989282069719</v>
      </c>
      <c r="AF9" s="129">
        <v>97.137693209692969</v>
      </c>
      <c r="AG9" s="129">
        <v>29.401516213591378</v>
      </c>
      <c r="AH9" s="129">
        <v>9.8416082126470759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89.023112402331606</v>
      </c>
      <c r="AO9" s="130">
        <v>53.473718120000001</v>
      </c>
      <c r="AP9" s="128">
        <v>0</v>
      </c>
      <c r="AQ9" s="148">
        <v>7046.148431062391</v>
      </c>
    </row>
    <row r="10" spans="1:43" ht="12.75" customHeight="1">
      <c r="A10" s="149" t="s">
        <v>422</v>
      </c>
      <c r="B10" s="150"/>
      <c r="C10" s="151">
        <v>672.76181752483296</v>
      </c>
      <c r="D10" s="152">
        <v>672.76181752483296</v>
      </c>
      <c r="E10" s="153"/>
      <c r="F10" s="154"/>
      <c r="G10" s="154"/>
      <c r="H10" s="155">
        <v>66.477586998939529</v>
      </c>
      <c r="I10" s="152">
        <v>66.477586998939529</v>
      </c>
      <c r="J10" s="156">
        <v>0</v>
      </c>
      <c r="K10" s="153"/>
      <c r="L10" s="155">
        <v>359.45345830467767</v>
      </c>
      <c r="M10" s="153"/>
      <c r="N10" s="153"/>
      <c r="O10" s="153"/>
      <c r="P10" s="153"/>
      <c r="Q10" s="153"/>
      <c r="R10" s="153"/>
      <c r="S10" s="153">
        <v>328.83388410655067</v>
      </c>
      <c r="T10" s="153"/>
      <c r="U10" s="153">
        <v>30.61957419812699</v>
      </c>
      <c r="V10" s="153"/>
      <c r="W10" s="154"/>
      <c r="X10" s="154"/>
      <c r="Y10" s="154"/>
      <c r="Z10" s="153"/>
      <c r="AA10" s="155">
        <v>2087.6867920143859</v>
      </c>
      <c r="AB10" s="157">
        <v>223.26183026503296</v>
      </c>
      <c r="AC10" s="158"/>
      <c r="AD10" s="153"/>
      <c r="AE10" s="153">
        <v>96.722620841748608</v>
      </c>
      <c r="AF10" s="153">
        <v>97.137693209692969</v>
      </c>
      <c r="AG10" s="153">
        <v>29.401516213591378</v>
      </c>
      <c r="AH10" s="153"/>
      <c r="AI10" s="153"/>
      <c r="AJ10" s="153"/>
      <c r="AK10" s="152"/>
      <c r="AL10" s="152"/>
      <c r="AM10" s="154"/>
      <c r="AN10" s="159">
        <v>89.023112402331606</v>
      </c>
      <c r="AO10" s="155"/>
      <c r="AP10" s="157"/>
      <c r="AQ10" s="160">
        <v>3498.664597510201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4.9669183165848452</v>
      </c>
      <c r="I11" s="105">
        <v>4.9669183165848452</v>
      </c>
      <c r="J11" s="106"/>
      <c r="K11" s="107"/>
      <c r="L11" s="104">
        <v>0.45660113346239994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0.45660113346239994</v>
      </c>
      <c r="U11" s="107">
        <v>0</v>
      </c>
      <c r="V11" s="107"/>
      <c r="W11" s="103"/>
      <c r="X11" s="103"/>
      <c r="Y11" s="103"/>
      <c r="Z11" s="107"/>
      <c r="AA11" s="104">
        <v>254.88331050144731</v>
      </c>
      <c r="AB11" s="108">
        <v>14.648880191595648</v>
      </c>
      <c r="AC11" s="109"/>
      <c r="AD11" s="107"/>
      <c r="AE11" s="107">
        <v>4.8072719789485721</v>
      </c>
      <c r="AF11" s="107"/>
      <c r="AG11" s="107"/>
      <c r="AH11" s="107">
        <v>9.8416082126470759</v>
      </c>
      <c r="AI11" s="107"/>
      <c r="AJ11" s="107"/>
      <c r="AK11" s="105"/>
      <c r="AL11" s="105"/>
      <c r="AM11" s="103"/>
      <c r="AN11" s="110"/>
      <c r="AO11" s="110"/>
      <c r="AP11" s="108"/>
      <c r="AQ11" s="111">
        <v>274.95571014309019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44.327411720000001</v>
      </c>
      <c r="AP12" s="108"/>
      <c r="AQ12" s="111">
        <v>44.327411720000001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57.917252027368434</v>
      </c>
      <c r="I13" s="105">
        <v>57.917252027368434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57.917252027368434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3128.2600958686794</v>
      </c>
      <c r="M14" s="166">
        <v>3093.1237788859994</v>
      </c>
      <c r="N14" s="166">
        <v>35.136316982680086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32.877057393053079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9.1463063999999985</v>
      </c>
      <c r="AP14" s="170"/>
      <c r="AQ14" s="173">
        <v>3170.2834596617326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55.021389426000013</v>
      </c>
      <c r="I15" s="177">
        <v>0</v>
      </c>
      <c r="J15" s="181">
        <v>0</v>
      </c>
      <c r="K15" s="178">
        <v>55.021389426000013</v>
      </c>
      <c r="L15" s="180">
        <v>3183.709026417519</v>
      </c>
      <c r="M15" s="178">
        <v>0</v>
      </c>
      <c r="N15" s="178">
        <v>0</v>
      </c>
      <c r="O15" s="178">
        <v>97.440566086436775</v>
      </c>
      <c r="P15" s="178">
        <v>584.61907413333336</v>
      </c>
      <c r="Q15" s="178">
        <v>268.86374956896009</v>
      </c>
      <c r="R15" s="178">
        <v>0</v>
      </c>
      <c r="S15" s="178">
        <v>956.4914553694914</v>
      </c>
      <c r="T15" s="178">
        <v>47.239381054464758</v>
      </c>
      <c r="U15" s="178">
        <v>1135.2489180618768</v>
      </c>
      <c r="V15" s="178">
        <v>0</v>
      </c>
      <c r="W15" s="179">
        <v>93.805882142955795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1827.8571587529825</v>
      </c>
      <c r="AP15" s="182">
        <v>0</v>
      </c>
      <c r="AQ15" s="185">
        <v>5066.5875745965013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1625.7321642262305</v>
      </c>
      <c r="AP16" s="157"/>
      <c r="AQ16" s="186">
        <v>1625.7321642262305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177.50845107791997</v>
      </c>
      <c r="AP17" s="108"/>
      <c r="AQ17" s="111">
        <v>177.50845107791997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24.616543448831997</v>
      </c>
      <c r="AP18" s="108"/>
      <c r="AQ18" s="111">
        <v>24.616543448831997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55.021389426000013</v>
      </c>
      <c r="I19" s="105"/>
      <c r="J19" s="107"/>
      <c r="K19" s="107">
        <v>55.021389426000013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55.021389426000013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3183.709026417519</v>
      </c>
      <c r="M20" s="166"/>
      <c r="N20" s="166"/>
      <c r="O20" s="166">
        <v>97.440566086436775</v>
      </c>
      <c r="P20" s="166">
        <v>584.61907413333336</v>
      </c>
      <c r="Q20" s="166">
        <v>268.86374956896009</v>
      </c>
      <c r="R20" s="166">
        <v>0</v>
      </c>
      <c r="S20" s="166">
        <v>956.4914553694914</v>
      </c>
      <c r="T20" s="166">
        <v>47.239381054464758</v>
      </c>
      <c r="U20" s="166">
        <v>1135.2489180618768</v>
      </c>
      <c r="V20" s="166"/>
      <c r="W20" s="167">
        <v>93.805882142955795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3183.709026417519</v>
      </c>
    </row>
    <row r="21" spans="1:43" ht="12.75" customHeight="1">
      <c r="A21" s="188" t="s">
        <v>102</v>
      </c>
      <c r="B21" s="189"/>
      <c r="C21" s="190">
        <v>23.955447667406776</v>
      </c>
      <c r="D21" s="191">
        <v>-19.918310089999999</v>
      </c>
      <c r="E21" s="192">
        <v>44.205068877406774</v>
      </c>
      <c r="F21" s="193">
        <v>0</v>
      </c>
      <c r="G21" s="193">
        <v>-0.33131112000000001</v>
      </c>
      <c r="H21" s="194">
        <v>0</v>
      </c>
      <c r="I21" s="191">
        <v>0</v>
      </c>
      <c r="J21" s="192">
        <v>0</v>
      </c>
      <c r="K21" s="192">
        <v>0</v>
      </c>
      <c r="L21" s="194">
        <v>-43.340862134471045</v>
      </c>
      <c r="M21" s="192">
        <v>0</v>
      </c>
      <c r="N21" s="192">
        <v>32.20625870827056</v>
      </c>
      <c r="O21" s="192">
        <v>0</v>
      </c>
      <c r="P21" s="192">
        <v>-8.6147849999999995</v>
      </c>
      <c r="Q21" s="192">
        <v>309.44144594272001</v>
      </c>
      <c r="R21" s="192">
        <v>-323.60824756991997</v>
      </c>
      <c r="S21" s="192">
        <v>0.12602639435028248</v>
      </c>
      <c r="T21" s="192">
        <v>0</v>
      </c>
      <c r="U21" s="192">
        <v>-28.604801822485136</v>
      </c>
      <c r="V21" s="192">
        <v>-24.286758787406775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-912.67679472745749</v>
      </c>
      <c r="AC21" s="196">
        <v>-64.443382927957998</v>
      </c>
      <c r="AD21" s="192">
        <v>-840.94072444363735</v>
      </c>
      <c r="AE21" s="192">
        <v>0</v>
      </c>
      <c r="AF21" s="192">
        <v>0</v>
      </c>
      <c r="AG21" s="197">
        <v>0</v>
      </c>
      <c r="AH21" s="197">
        <v>-0.42882789873600002</v>
      </c>
      <c r="AI21" s="197">
        <v>0</v>
      </c>
      <c r="AJ21" s="197">
        <v>0</v>
      </c>
      <c r="AK21" s="191">
        <v>-6.863859457126229</v>
      </c>
      <c r="AL21" s="197">
        <v>0</v>
      </c>
      <c r="AM21" s="193">
        <v>0</v>
      </c>
      <c r="AN21" s="198">
        <v>0</v>
      </c>
      <c r="AO21" s="194">
        <v>912.24796682872147</v>
      </c>
      <c r="AP21" s="195">
        <v>0</v>
      </c>
      <c r="AQ21" s="199">
        <v>-19.814242365800268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-912.24796682872147</v>
      </c>
      <c r="AC22" s="158">
        <v>-64.443382927957998</v>
      </c>
      <c r="AD22" s="153">
        <v>-840.94072444363735</v>
      </c>
      <c r="AE22" s="153"/>
      <c r="AF22" s="153"/>
      <c r="AG22" s="161"/>
      <c r="AH22" s="161"/>
      <c r="AI22" s="161"/>
      <c r="AJ22" s="161"/>
      <c r="AK22" s="152">
        <v>-6.863859457126229</v>
      </c>
      <c r="AL22" s="161"/>
      <c r="AM22" s="154"/>
      <c r="AN22" s="159"/>
      <c r="AO22" s="155">
        <v>912.24796682872147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23.955447667406776</v>
      </c>
      <c r="D24" s="215">
        <v>-19.918310089999999</v>
      </c>
      <c r="E24" s="122">
        <v>44.205068877406774</v>
      </c>
      <c r="F24" s="116"/>
      <c r="G24" s="116">
        <v>-0.33131112000000001</v>
      </c>
      <c r="H24" s="117"/>
      <c r="I24" s="216"/>
      <c r="J24" s="122"/>
      <c r="K24" s="122"/>
      <c r="L24" s="117">
        <v>-43.340862134471045</v>
      </c>
      <c r="M24" s="122"/>
      <c r="N24" s="122">
        <v>32.20625870827056</v>
      </c>
      <c r="O24" s="122"/>
      <c r="P24" s="122">
        <v>-8.6147849999999995</v>
      </c>
      <c r="Q24" s="122">
        <v>309.44144594272001</v>
      </c>
      <c r="R24" s="122">
        <v>-323.60824756991997</v>
      </c>
      <c r="S24" s="122">
        <v>0.12602639435028248</v>
      </c>
      <c r="T24" s="122"/>
      <c r="U24" s="122">
        <v>-28.604801822485136</v>
      </c>
      <c r="V24" s="116">
        <v>-24.286758787406775</v>
      </c>
      <c r="W24" s="116">
        <v>0</v>
      </c>
      <c r="X24" s="116"/>
      <c r="Y24" s="116"/>
      <c r="Z24" s="122"/>
      <c r="AA24" s="117"/>
      <c r="AB24" s="117">
        <v>-0.42882789873600002</v>
      </c>
      <c r="AC24" s="121"/>
      <c r="AD24" s="122"/>
      <c r="AE24" s="122"/>
      <c r="AF24" s="122"/>
      <c r="AG24" s="122"/>
      <c r="AH24" s="122">
        <v>-0.42882789873600002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-19.814242365800268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10.469112896752314</v>
      </c>
      <c r="I25" s="207">
        <v>10.469112896752314</v>
      </c>
      <c r="J25" s="217"/>
      <c r="K25" s="209"/>
      <c r="L25" s="180">
        <v>99.993768447536056</v>
      </c>
      <c r="M25" s="209"/>
      <c r="N25" s="209"/>
      <c r="O25" s="209">
        <v>99.385536260942132</v>
      </c>
      <c r="P25" s="209"/>
      <c r="Q25" s="209"/>
      <c r="R25" s="209"/>
      <c r="S25" s="209">
        <v>0</v>
      </c>
      <c r="T25" s="209">
        <v>1.8276471195184864E-3</v>
      </c>
      <c r="U25" s="209">
        <v>0.60640453947441786</v>
      </c>
      <c r="V25" s="209"/>
      <c r="W25" s="207"/>
      <c r="X25" s="207"/>
      <c r="Y25" s="207"/>
      <c r="Z25" s="209"/>
      <c r="AA25" s="180">
        <v>54.817977940294135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280.4127039560862</v>
      </c>
      <c r="AP25" s="182"/>
      <c r="AQ25" s="213">
        <v>445.69356324066871</v>
      </c>
    </row>
    <row r="26" spans="1:43" s="11" customFormat="1" ht="12.75" customHeight="1" thickBot="1">
      <c r="A26" s="218" t="s">
        <v>104</v>
      </c>
      <c r="B26" s="219"/>
      <c r="C26" s="220">
        <v>265.03734658553225</v>
      </c>
      <c r="D26" s="221">
        <v>170.49834594166347</v>
      </c>
      <c r="E26" s="222">
        <v>81.823679917691919</v>
      </c>
      <c r="F26" s="222">
        <v>0</v>
      </c>
      <c r="G26" s="222">
        <v>12.715320726176765</v>
      </c>
      <c r="H26" s="223">
        <v>180.19453073799906</v>
      </c>
      <c r="I26" s="221">
        <v>-1.4245832620936483E-2</v>
      </c>
      <c r="J26" s="224">
        <v>127.70399999999999</v>
      </c>
      <c r="K26" s="222">
        <v>52.50477657062001</v>
      </c>
      <c r="L26" s="223">
        <v>6270.2365952692962</v>
      </c>
      <c r="M26" s="222">
        <v>4.5474735088646412E-13</v>
      </c>
      <c r="N26" s="222">
        <v>-2.3922852809526773E-2</v>
      </c>
      <c r="O26" s="222">
        <v>-1.9449701745053574</v>
      </c>
      <c r="P26" s="222">
        <v>604.46354810000003</v>
      </c>
      <c r="Q26" s="222">
        <v>935.77818530560012</v>
      </c>
      <c r="R26" s="222">
        <v>426.03276249455973</v>
      </c>
      <c r="S26" s="222">
        <v>24.666068698816453</v>
      </c>
      <c r="T26" s="222">
        <v>181.80653026276013</v>
      </c>
      <c r="U26" s="222">
        <v>3569.3760048573272</v>
      </c>
      <c r="V26" s="222">
        <v>151.33270772902267</v>
      </c>
      <c r="W26" s="222">
        <v>0.48245400138121397</v>
      </c>
      <c r="X26" s="222">
        <v>331.35044362200324</v>
      </c>
      <c r="Y26" s="222">
        <v>0.96468889430648541</v>
      </c>
      <c r="Z26" s="222">
        <v>45.952094330831557</v>
      </c>
      <c r="AA26" s="223">
        <v>1953.4627836660532</v>
      </c>
      <c r="AB26" s="225">
        <v>497.61639750335894</v>
      </c>
      <c r="AC26" s="147">
        <v>0</v>
      </c>
      <c r="AD26" s="129">
        <v>0</v>
      </c>
      <c r="AE26" s="129">
        <v>165.49029366179519</v>
      </c>
      <c r="AF26" s="129">
        <v>46.642791952044718</v>
      </c>
      <c r="AG26" s="129">
        <v>0</v>
      </c>
      <c r="AH26" s="129">
        <v>12.403967775042096</v>
      </c>
      <c r="AI26" s="129">
        <v>160.03835289936001</v>
      </c>
      <c r="AJ26" s="129">
        <v>19.912024541567998</v>
      </c>
      <c r="AK26" s="132">
        <v>0</v>
      </c>
      <c r="AL26" s="132">
        <v>14.011375971201144</v>
      </c>
      <c r="AM26" s="226">
        <v>79.117590702347485</v>
      </c>
      <c r="AN26" s="223">
        <v>53.912868117219489</v>
      </c>
      <c r="AO26" s="223">
        <v>2542.7517109656178</v>
      </c>
      <c r="AP26" s="225">
        <v>0</v>
      </c>
      <c r="AQ26" s="227">
        <v>11763.212232845077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378.26722684714127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331.35044362200324</v>
      </c>
      <c r="Y27" s="146">
        <v>0.96468889430648541</v>
      </c>
      <c r="Z27" s="129">
        <v>45.952094330831557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378.26722684714127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378.26722684714127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331.35044362200324</v>
      </c>
      <c r="Y28" s="193">
        <v>0.96468889430648541</v>
      </c>
      <c r="Z28" s="192">
        <v>45.952094330831557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378.26722684714127</v>
      </c>
    </row>
    <row r="29" spans="1:43" s="11" customFormat="1" ht="12.75" customHeight="1" thickBot="1">
      <c r="A29" s="125" t="s">
        <v>107</v>
      </c>
      <c r="B29" s="126"/>
      <c r="C29" s="127">
        <v>275.21666357380616</v>
      </c>
      <c r="D29" s="132">
        <v>171.80346565934207</v>
      </c>
      <c r="E29" s="129">
        <v>91.047445254885133</v>
      </c>
      <c r="F29" s="146">
        <v>0</v>
      </c>
      <c r="G29" s="146">
        <v>12.365752659579005</v>
      </c>
      <c r="H29" s="130">
        <v>179.95417103</v>
      </c>
      <c r="I29" s="132">
        <v>0</v>
      </c>
      <c r="J29" s="233">
        <v>127.70399999999999</v>
      </c>
      <c r="K29" s="132">
        <v>52.250171030000004</v>
      </c>
      <c r="L29" s="130">
        <v>5976.9710573345583</v>
      </c>
      <c r="M29" s="129">
        <v>0</v>
      </c>
      <c r="N29" s="129">
        <v>0</v>
      </c>
      <c r="O29" s="129">
        <v>0</v>
      </c>
      <c r="P29" s="129">
        <v>612.74491157777788</v>
      </c>
      <c r="Q29" s="129">
        <v>943.81500350592023</v>
      </c>
      <c r="R29" s="129">
        <v>445.76882293992008</v>
      </c>
      <c r="S29" s="129">
        <v>21.575486332510842</v>
      </c>
      <c r="T29" s="129">
        <v>178.08896330005223</v>
      </c>
      <c r="U29" s="129">
        <v>3624.1679650347</v>
      </c>
      <c r="V29" s="129">
        <v>150.80990464367727</v>
      </c>
      <c r="W29" s="146">
        <v>0</v>
      </c>
      <c r="X29" s="146">
        <v>0</v>
      </c>
      <c r="Y29" s="146">
        <v>0</v>
      </c>
      <c r="Z29" s="132">
        <v>0</v>
      </c>
      <c r="AA29" s="223">
        <v>1950.8872618295818</v>
      </c>
      <c r="AB29" s="128">
        <v>500.54916168172616</v>
      </c>
      <c r="AC29" s="147">
        <v>0</v>
      </c>
      <c r="AD29" s="129">
        <v>0</v>
      </c>
      <c r="AE29" s="129">
        <v>170.03470204715472</v>
      </c>
      <c r="AF29" s="129">
        <v>46.642791952044703</v>
      </c>
      <c r="AG29" s="129">
        <v>0</v>
      </c>
      <c r="AH29" s="129">
        <v>12.403967775042096</v>
      </c>
      <c r="AI29" s="129">
        <v>158.01530026022402</v>
      </c>
      <c r="AJ29" s="129">
        <v>20.323432973711995</v>
      </c>
      <c r="AK29" s="128">
        <v>0</v>
      </c>
      <c r="AL29" s="128">
        <v>14.011375971201142</v>
      </c>
      <c r="AM29" s="128">
        <v>79.117590702347485</v>
      </c>
      <c r="AN29" s="128">
        <v>53.912868117219482</v>
      </c>
      <c r="AO29" s="130">
        <v>2581.4860669972227</v>
      </c>
      <c r="AP29" s="128">
        <v>0</v>
      </c>
      <c r="AQ29" s="227">
        <v>11518.977250564114</v>
      </c>
    </row>
    <row r="30" spans="1:43" s="11" customFormat="1" ht="12.75" customHeight="1">
      <c r="A30" s="234" t="s">
        <v>108</v>
      </c>
      <c r="B30" s="235"/>
      <c r="C30" s="236">
        <v>89.376412526600021</v>
      </c>
      <c r="D30" s="237">
        <v>89.376412526600021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339.22067490251277</v>
      </c>
      <c r="M30" s="237">
        <v>0</v>
      </c>
      <c r="N30" s="237">
        <v>0</v>
      </c>
      <c r="O30" s="237">
        <v>0</v>
      </c>
      <c r="P30" s="237">
        <v>0</v>
      </c>
      <c r="Q30" s="237">
        <v>5.0222142074379068</v>
      </c>
      <c r="R30" s="237">
        <v>0</v>
      </c>
      <c r="S30" s="237">
        <v>21.366183209552975</v>
      </c>
      <c r="T30" s="237">
        <v>68.569502140314214</v>
      </c>
      <c r="U30" s="237">
        <v>100.31118277909654</v>
      </c>
      <c r="V30" s="237">
        <v>143.95159256611112</v>
      </c>
      <c r="W30" s="237">
        <v>0</v>
      </c>
      <c r="X30" s="237">
        <v>0</v>
      </c>
      <c r="Y30" s="237">
        <v>0</v>
      </c>
      <c r="Z30" s="237">
        <v>0</v>
      </c>
      <c r="AA30" s="239">
        <v>988.37154208206687</v>
      </c>
      <c r="AB30" s="241">
        <v>178.05893328637364</v>
      </c>
      <c r="AC30" s="242">
        <v>0</v>
      </c>
      <c r="AD30" s="237">
        <v>0</v>
      </c>
      <c r="AE30" s="237">
        <v>125.15834525863625</v>
      </c>
      <c r="AF30" s="237">
        <v>46.642791952044703</v>
      </c>
      <c r="AG30" s="237">
        <v>0</v>
      </c>
      <c r="AH30" s="237">
        <v>6.2577960756926894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53.912868117219482</v>
      </c>
      <c r="AO30" s="239">
        <v>589.35517186101742</v>
      </c>
      <c r="AP30" s="241">
        <v>0</v>
      </c>
      <c r="AQ30" s="148">
        <v>2238.29560277579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10.938781098076682</v>
      </c>
      <c r="M31" s="161"/>
      <c r="N31" s="161"/>
      <c r="O31" s="161"/>
      <c r="P31" s="252"/>
      <c r="Q31" s="203">
        <v>0.17299999999999999</v>
      </c>
      <c r="R31" s="247"/>
      <c r="S31" s="203">
        <v>0</v>
      </c>
      <c r="T31" s="203">
        <v>0.90078109807668227</v>
      </c>
      <c r="U31" s="203">
        <v>9.8650000000000002</v>
      </c>
      <c r="V31" s="203">
        <v>0</v>
      </c>
      <c r="W31" s="247"/>
      <c r="X31" s="250"/>
      <c r="Y31" s="252"/>
      <c r="Z31" s="161"/>
      <c r="AA31" s="15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23.595633964018234</v>
      </c>
      <c r="AP31" s="253"/>
      <c r="AQ31" s="160">
        <v>34.534415062094915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67.464246350000423</v>
      </c>
      <c r="M32" s="107"/>
      <c r="N32" s="107"/>
      <c r="O32" s="107"/>
      <c r="P32" s="252"/>
      <c r="Q32" s="257">
        <v>1.121</v>
      </c>
      <c r="R32" s="257"/>
      <c r="S32" s="257">
        <v>16.447259565618001</v>
      </c>
      <c r="T32" s="257">
        <v>39.800986784382424</v>
      </c>
      <c r="U32" s="257">
        <v>10.095000000000001</v>
      </c>
      <c r="V32" s="257">
        <v>0</v>
      </c>
      <c r="W32" s="257"/>
      <c r="X32" s="105"/>
      <c r="Y32" s="103"/>
      <c r="Z32" s="107"/>
      <c r="AA32" s="110">
        <v>313.96025671751369</v>
      </c>
      <c r="AB32" s="108">
        <v>6.2720424060926891</v>
      </c>
      <c r="AC32" s="109"/>
      <c r="AD32" s="107"/>
      <c r="AE32" s="107">
        <v>1.42463304E-2</v>
      </c>
      <c r="AF32" s="107"/>
      <c r="AG32" s="161"/>
      <c r="AH32" s="161">
        <v>6.2577960756926894</v>
      </c>
      <c r="AI32" s="161"/>
      <c r="AJ32" s="161"/>
      <c r="AK32" s="105"/>
      <c r="AL32" s="103"/>
      <c r="AM32" s="107"/>
      <c r="AN32" s="110"/>
      <c r="AO32" s="110">
        <v>103.28928221767404</v>
      </c>
      <c r="AP32" s="108"/>
      <c r="AQ32" s="111">
        <v>490.98582769128086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5.6864690535297706</v>
      </c>
      <c r="M33" s="107"/>
      <c r="N33" s="107"/>
      <c r="O33" s="107"/>
      <c r="P33" s="252"/>
      <c r="Q33" s="257">
        <v>4.9000000000000002E-2</v>
      </c>
      <c r="R33" s="257"/>
      <c r="S33" s="257">
        <v>0</v>
      </c>
      <c r="T33" s="257">
        <v>5.3404690535297705</v>
      </c>
      <c r="U33" s="257">
        <v>0.29699999999999999</v>
      </c>
      <c r="V33" s="257">
        <v>0</v>
      </c>
      <c r="W33" s="257"/>
      <c r="X33" s="105"/>
      <c r="Y33" s="103"/>
      <c r="Z33" s="107"/>
      <c r="AA33" s="110">
        <v>1.4732453039807789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3.6684377767555847</v>
      </c>
      <c r="AP33" s="108"/>
      <c r="AQ33" s="111">
        <v>10.828152134266134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2.3271412135206591</v>
      </c>
      <c r="M34" s="107"/>
      <c r="N34" s="107"/>
      <c r="O34" s="107"/>
      <c r="P34" s="252"/>
      <c r="Q34" s="257">
        <v>9.4E-2</v>
      </c>
      <c r="R34" s="257"/>
      <c r="S34" s="257">
        <v>0</v>
      </c>
      <c r="T34" s="257">
        <v>0.6161412135206592</v>
      </c>
      <c r="U34" s="257">
        <v>1.617</v>
      </c>
      <c r="V34" s="257">
        <v>0</v>
      </c>
      <c r="W34" s="257"/>
      <c r="X34" s="105"/>
      <c r="Y34" s="103"/>
      <c r="Z34" s="107"/>
      <c r="AA34" s="110">
        <v>5.4466981813508522</v>
      </c>
      <c r="AB34" s="108">
        <v>122.53520767718693</v>
      </c>
      <c r="AC34" s="109"/>
      <c r="AD34" s="107"/>
      <c r="AE34" s="107">
        <v>122.53520767718693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28.613382187396564</v>
      </c>
      <c r="AP34" s="108"/>
      <c r="AQ34" s="111">
        <v>158.92242925945499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0.94232863759068697</v>
      </c>
      <c r="M35" s="107"/>
      <c r="N35" s="107"/>
      <c r="O35" s="107"/>
      <c r="P35" s="252"/>
      <c r="Q35" s="257">
        <v>2.5999999999999999E-2</v>
      </c>
      <c r="R35" s="257"/>
      <c r="S35" s="257">
        <v>0</v>
      </c>
      <c r="T35" s="257">
        <v>0.35232863759068694</v>
      </c>
      <c r="U35" s="257">
        <v>0.56399999999999995</v>
      </c>
      <c r="V35" s="257">
        <v>0</v>
      </c>
      <c r="W35" s="257"/>
      <c r="X35" s="105"/>
      <c r="Y35" s="103"/>
      <c r="Z35" s="107"/>
      <c r="AA35" s="110">
        <v>6.9235955559909783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7.722856186078733</v>
      </c>
      <c r="AP35" s="108"/>
      <c r="AQ35" s="111">
        <v>15.588780379660399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14.409278689970284</v>
      </c>
      <c r="M36" s="107"/>
      <c r="N36" s="107"/>
      <c r="O36" s="107"/>
      <c r="P36" s="252"/>
      <c r="Q36" s="247">
        <v>0.14700000000000002</v>
      </c>
      <c r="R36" s="257"/>
      <c r="S36" s="247">
        <v>1.1441721186</v>
      </c>
      <c r="T36" s="247">
        <v>1.9716518832661101</v>
      </c>
      <c r="U36" s="247">
        <v>4.306</v>
      </c>
      <c r="V36" s="247">
        <v>6.8404546881041739</v>
      </c>
      <c r="W36" s="257"/>
      <c r="X36" s="105"/>
      <c r="Y36" s="103"/>
      <c r="Z36" s="107"/>
      <c r="AA36" s="260">
        <v>129.58204072083589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85.406594086952737</v>
      </c>
      <c r="AP36" s="108"/>
      <c r="AQ36" s="111">
        <v>229.39791349775891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2.8995347432223428</v>
      </c>
      <c r="M37" s="107"/>
      <c r="N37" s="107"/>
      <c r="O37" s="107"/>
      <c r="P37" s="252"/>
      <c r="Q37" s="257">
        <v>0.28000000000000003</v>
      </c>
      <c r="R37" s="257"/>
      <c r="S37" s="257">
        <v>0</v>
      </c>
      <c r="T37" s="257">
        <v>2.1365347432223429</v>
      </c>
      <c r="U37" s="257">
        <v>0.48299999999999998</v>
      </c>
      <c r="V37" s="257">
        <v>0</v>
      </c>
      <c r="W37" s="257"/>
      <c r="X37" s="105"/>
      <c r="Y37" s="103"/>
      <c r="Z37" s="107"/>
      <c r="AA37" s="110">
        <v>6.7965034970456859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21.360838536799314</v>
      </c>
      <c r="AP37" s="108"/>
      <c r="AQ37" s="111">
        <v>31.056876777067345</v>
      </c>
    </row>
    <row r="38" spans="1:43" ht="12.75" customHeight="1">
      <c r="A38" s="255" t="s">
        <v>123</v>
      </c>
      <c r="B38" s="259" t="s">
        <v>124</v>
      </c>
      <c r="C38" s="100">
        <v>89.376412526600021</v>
      </c>
      <c r="D38" s="109">
        <v>89.376412526600021</v>
      </c>
      <c r="E38" s="257"/>
      <c r="F38" s="257"/>
      <c r="G38" s="258"/>
      <c r="H38" s="104">
        <v>0</v>
      </c>
      <c r="I38" s="105"/>
      <c r="J38" s="106"/>
      <c r="K38" s="107"/>
      <c r="L38" s="104">
        <v>167.15301397905489</v>
      </c>
      <c r="M38" s="107"/>
      <c r="N38" s="107"/>
      <c r="O38" s="107"/>
      <c r="P38" s="252"/>
      <c r="Q38" s="257">
        <v>1.44</v>
      </c>
      <c r="R38" s="257"/>
      <c r="S38" s="257">
        <v>0</v>
      </c>
      <c r="T38" s="257">
        <v>2.3968761010479733</v>
      </c>
      <c r="U38" s="257">
        <v>26.204999999999998</v>
      </c>
      <c r="V38" s="257">
        <v>137.11113787800693</v>
      </c>
      <c r="W38" s="257"/>
      <c r="X38" s="105"/>
      <c r="Y38" s="103"/>
      <c r="Z38" s="107"/>
      <c r="AA38" s="110">
        <v>24.056919847253813</v>
      </c>
      <c r="AB38" s="108">
        <v>49.251683203094025</v>
      </c>
      <c r="AC38" s="109"/>
      <c r="AD38" s="107"/>
      <c r="AE38" s="107">
        <v>2.6088912510493198</v>
      </c>
      <c r="AF38" s="107">
        <v>46.642791952044703</v>
      </c>
      <c r="AG38" s="161"/>
      <c r="AH38" s="161"/>
      <c r="AI38" s="161"/>
      <c r="AJ38" s="161"/>
      <c r="AK38" s="105"/>
      <c r="AL38" s="103"/>
      <c r="AM38" s="107"/>
      <c r="AN38" s="110">
        <v>53.912868117219482</v>
      </c>
      <c r="AO38" s="110">
        <v>66.938988527046405</v>
      </c>
      <c r="AP38" s="108"/>
      <c r="AQ38" s="111">
        <v>450.68988620026869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3.93479934863349</v>
      </c>
      <c r="M39" s="107"/>
      <c r="N39" s="107"/>
      <c r="O39" s="107"/>
      <c r="P39" s="252"/>
      <c r="Q39" s="257">
        <v>0.26200000000000001</v>
      </c>
      <c r="R39" s="257"/>
      <c r="S39" s="257">
        <v>0.74378131254000013</v>
      </c>
      <c r="T39" s="257">
        <v>1.2340180360934894</v>
      </c>
      <c r="U39" s="257">
        <v>1.6950000000000001</v>
      </c>
      <c r="V39" s="257">
        <v>0</v>
      </c>
      <c r="W39" s="257"/>
      <c r="X39" s="105"/>
      <c r="Y39" s="103"/>
      <c r="Z39" s="107"/>
      <c r="AA39" s="110">
        <v>422.21442809889999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60.891958616821249</v>
      </c>
      <c r="AP39" s="108"/>
      <c r="AQ39" s="111">
        <v>487.04118606435469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2.7330976609005639</v>
      </c>
      <c r="M40" s="107"/>
      <c r="N40" s="107"/>
      <c r="O40" s="107"/>
      <c r="P40" s="252"/>
      <c r="Q40" s="257">
        <v>6.9000000000000006E-2</v>
      </c>
      <c r="R40" s="257"/>
      <c r="S40" s="257">
        <v>0</v>
      </c>
      <c r="T40" s="257">
        <v>2.1590976609005641</v>
      </c>
      <c r="U40" s="257">
        <v>0.505</v>
      </c>
      <c r="V40" s="257">
        <v>0</v>
      </c>
      <c r="W40" s="257"/>
      <c r="X40" s="105"/>
      <c r="Y40" s="103"/>
      <c r="Z40" s="107"/>
      <c r="AA40" s="110">
        <v>13.040813910398031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17.341017831235725</v>
      </c>
      <c r="AP40" s="108"/>
      <c r="AQ40" s="111">
        <v>33.114929402534315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2.9754985949786454</v>
      </c>
      <c r="M41" s="107"/>
      <c r="N41" s="107"/>
      <c r="O41" s="107"/>
      <c r="P41" s="252"/>
      <c r="Q41" s="247">
        <v>0.32200000000000001</v>
      </c>
      <c r="R41" s="257"/>
      <c r="S41" s="247">
        <v>0</v>
      </c>
      <c r="T41" s="247">
        <v>2.2614985949786455</v>
      </c>
      <c r="U41" s="247">
        <v>0.39200000000000002</v>
      </c>
      <c r="V41" s="247">
        <v>0</v>
      </c>
      <c r="W41" s="257"/>
      <c r="X41" s="105"/>
      <c r="Y41" s="103"/>
      <c r="Z41" s="107"/>
      <c r="AA41" s="260">
        <v>18.515267828759924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104.9186178291007</v>
      </c>
      <c r="AP41" s="108"/>
      <c r="AQ41" s="111">
        <v>126.40938425283926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1.2246873860416685</v>
      </c>
      <c r="M42" s="107"/>
      <c r="N42" s="107"/>
      <c r="O42" s="107"/>
      <c r="P42" s="252"/>
      <c r="Q42" s="257">
        <v>1.4E-2</v>
      </c>
      <c r="R42" s="257"/>
      <c r="S42" s="257">
        <v>0</v>
      </c>
      <c r="T42" s="257">
        <v>1.0326873860416685</v>
      </c>
      <c r="U42" s="257">
        <v>0.17799999999999999</v>
      </c>
      <c r="V42" s="257">
        <v>0</v>
      </c>
      <c r="W42" s="257"/>
      <c r="X42" s="105"/>
      <c r="Y42" s="103"/>
      <c r="Z42" s="107"/>
      <c r="AA42" s="110">
        <v>1.1869229642879355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2.598071316694273</v>
      </c>
      <c r="AP42" s="108"/>
      <c r="AQ42" s="111">
        <v>5.0096816670238766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12.296891005285911</v>
      </c>
      <c r="M43" s="107"/>
      <c r="N43" s="107"/>
      <c r="O43" s="107"/>
      <c r="P43" s="103"/>
      <c r="Q43" s="257">
        <v>0.17299999999999999</v>
      </c>
      <c r="R43" s="257"/>
      <c r="S43" s="257">
        <v>3.0309702127950002</v>
      </c>
      <c r="T43" s="257">
        <v>7.6679207924909107</v>
      </c>
      <c r="U43" s="257">
        <v>1.425</v>
      </c>
      <c r="V43" s="257">
        <v>0</v>
      </c>
      <c r="W43" s="257"/>
      <c r="X43" s="105"/>
      <c r="Y43" s="103"/>
      <c r="Z43" s="107"/>
      <c r="AA43" s="110">
        <v>41.546686234868957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53.037198685159211</v>
      </c>
      <c r="AP43" s="108"/>
      <c r="AQ43" s="111">
        <v>106.88077592531408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44.234907141706749</v>
      </c>
      <c r="M44" s="166"/>
      <c r="N44" s="166"/>
      <c r="O44" s="166"/>
      <c r="P44" s="167"/>
      <c r="Q44" s="263">
        <v>0.85221420743790655</v>
      </c>
      <c r="R44" s="263"/>
      <c r="S44" s="263">
        <v>0</v>
      </c>
      <c r="T44" s="263">
        <v>0.69851015517229298</v>
      </c>
      <c r="U44" s="263">
        <v>42.684182779096552</v>
      </c>
      <c r="V44" s="263">
        <v>0</v>
      </c>
      <c r="W44" s="263"/>
      <c r="X44" s="165"/>
      <c r="Y44" s="167"/>
      <c r="Z44" s="166"/>
      <c r="AA44" s="172">
        <v>3.6281632208802095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9.9722940992846585</v>
      </c>
      <c r="AP44" s="170"/>
      <c r="AQ44" s="173">
        <v>57.83536446187162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3946.7220259470346</v>
      </c>
      <c r="M45" s="266">
        <v>0</v>
      </c>
      <c r="N45" s="266">
        <v>0</v>
      </c>
      <c r="O45" s="266">
        <v>0</v>
      </c>
      <c r="P45" s="266">
        <v>612.74491157777788</v>
      </c>
      <c r="Q45" s="266">
        <v>0</v>
      </c>
      <c r="R45" s="266">
        <v>445.76882293992008</v>
      </c>
      <c r="S45" s="266">
        <v>0</v>
      </c>
      <c r="T45" s="266">
        <v>1.1651176501305485</v>
      </c>
      <c r="U45" s="266">
        <v>2887.043173779206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16.679762707720784</v>
      </c>
      <c r="AB45" s="271">
        <v>178.33873323393604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158.01530026022402</v>
      </c>
      <c r="AJ45" s="266">
        <v>20.323432973711995</v>
      </c>
      <c r="AK45" s="269">
        <v>0</v>
      </c>
      <c r="AL45" s="267">
        <v>0</v>
      </c>
      <c r="AM45" s="266">
        <v>0</v>
      </c>
      <c r="AN45" s="268">
        <v>0</v>
      </c>
      <c r="AO45" s="268">
        <v>12.640391076303297</v>
      </c>
      <c r="AP45" s="271">
        <v>0</v>
      </c>
      <c r="AQ45" s="273">
        <v>4154.3809129649944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750.6885351801825</v>
      </c>
      <c r="M46" s="153"/>
      <c r="N46" s="153"/>
      <c r="O46" s="153"/>
      <c r="P46" s="153"/>
      <c r="Q46" s="153"/>
      <c r="R46" s="153"/>
      <c r="S46" s="153"/>
      <c r="T46" s="153"/>
      <c r="U46" s="153">
        <v>750.6885351801825</v>
      </c>
      <c r="V46" s="153"/>
      <c r="W46" s="154"/>
      <c r="X46" s="154"/>
      <c r="Y46" s="154"/>
      <c r="Z46" s="153"/>
      <c r="AA46" s="159">
        <v>1.5422209556599999</v>
      </c>
      <c r="AB46" s="157">
        <v>43.357464819817523</v>
      </c>
      <c r="AC46" s="158"/>
      <c r="AD46" s="153"/>
      <c r="AE46" s="153"/>
      <c r="AF46" s="153"/>
      <c r="AG46" s="153"/>
      <c r="AH46" s="153"/>
      <c r="AI46" s="153">
        <v>43.357464819817523</v>
      </c>
      <c r="AJ46" s="153">
        <v>0</v>
      </c>
      <c r="AK46" s="152"/>
      <c r="AL46" s="154"/>
      <c r="AM46" s="153"/>
      <c r="AN46" s="155"/>
      <c r="AO46" s="159"/>
      <c r="AP46" s="157"/>
      <c r="AQ46" s="186">
        <v>795.58822095566006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259.89141871792361</v>
      </c>
      <c r="M47" s="161"/>
      <c r="N47" s="161"/>
      <c r="O47" s="161"/>
      <c r="P47" s="161"/>
      <c r="Q47" s="161"/>
      <c r="R47" s="161"/>
      <c r="S47" s="161"/>
      <c r="T47" s="161"/>
      <c r="U47" s="161">
        <v>259.89141871792361</v>
      </c>
      <c r="V47" s="161"/>
      <c r="W47" s="252"/>
      <c r="X47" s="252"/>
      <c r="Y47" s="252"/>
      <c r="Z47" s="161"/>
      <c r="AA47" s="260"/>
      <c r="AB47" s="253">
        <v>15.010530354416831</v>
      </c>
      <c r="AC47" s="254"/>
      <c r="AD47" s="161"/>
      <c r="AE47" s="161"/>
      <c r="AF47" s="161"/>
      <c r="AG47" s="161"/>
      <c r="AH47" s="161"/>
      <c r="AI47" s="161">
        <v>15.010530354416831</v>
      </c>
      <c r="AJ47" s="161">
        <v>0</v>
      </c>
      <c r="AK47" s="250"/>
      <c r="AL47" s="252"/>
      <c r="AM47" s="161"/>
      <c r="AN47" s="249"/>
      <c r="AO47" s="260"/>
      <c r="AP47" s="253"/>
      <c r="AQ47" s="160">
        <v>274.90194907234047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1585.3638711111039</v>
      </c>
      <c r="M48" s="107"/>
      <c r="N48" s="107"/>
      <c r="O48" s="107"/>
      <c r="P48" s="107">
        <v>490.32148720695693</v>
      </c>
      <c r="Q48" s="107"/>
      <c r="R48" s="107"/>
      <c r="S48" s="107"/>
      <c r="T48" s="107">
        <v>1.1651176501305485</v>
      </c>
      <c r="U48" s="107">
        <v>1093.8772662540164</v>
      </c>
      <c r="V48" s="107"/>
      <c r="W48" s="103"/>
      <c r="X48" s="103"/>
      <c r="Y48" s="103"/>
      <c r="Z48" s="107"/>
      <c r="AA48" s="110"/>
      <c r="AB48" s="108">
        <v>79.462427173834499</v>
      </c>
      <c r="AC48" s="109"/>
      <c r="AD48" s="107"/>
      <c r="AE48" s="107"/>
      <c r="AF48" s="107"/>
      <c r="AG48" s="107"/>
      <c r="AH48" s="107"/>
      <c r="AI48" s="107">
        <v>63.17899217339577</v>
      </c>
      <c r="AJ48" s="107">
        <v>16.283435000438729</v>
      </c>
      <c r="AK48" s="105"/>
      <c r="AL48" s="103"/>
      <c r="AM48" s="107"/>
      <c r="AN48" s="104"/>
      <c r="AO48" s="110">
        <v>8.4119560623032967</v>
      </c>
      <c r="AP48" s="108"/>
      <c r="AQ48" s="111">
        <v>1673.2382543472415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114.8928231465778</v>
      </c>
      <c r="M49" s="107"/>
      <c r="N49" s="107"/>
      <c r="O49" s="107"/>
      <c r="P49" s="107">
        <v>3.1912985685693869</v>
      </c>
      <c r="Q49" s="107"/>
      <c r="R49" s="107"/>
      <c r="S49" s="107"/>
      <c r="T49" s="107"/>
      <c r="U49" s="107">
        <v>111.70152457800842</v>
      </c>
      <c r="V49" s="107"/>
      <c r="W49" s="103"/>
      <c r="X49" s="103"/>
      <c r="Y49" s="103"/>
      <c r="Z49" s="107"/>
      <c r="AA49" s="110"/>
      <c r="AB49" s="108">
        <v>6.5575191865315094</v>
      </c>
      <c r="AC49" s="109"/>
      <c r="AD49" s="107"/>
      <c r="AE49" s="107"/>
      <c r="AF49" s="107"/>
      <c r="AG49" s="107"/>
      <c r="AH49" s="107"/>
      <c r="AI49" s="107">
        <v>6.4515370826177989</v>
      </c>
      <c r="AJ49" s="107">
        <v>0.10598210391371048</v>
      </c>
      <c r="AK49" s="105"/>
      <c r="AL49" s="103"/>
      <c r="AM49" s="107"/>
      <c r="AN49" s="104"/>
      <c r="AO49" s="110"/>
      <c r="AP49" s="108"/>
      <c r="AQ49" s="111">
        <v>121.4503423331093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34.300961069822492</v>
      </c>
      <c r="M50" s="107"/>
      <c r="N50" s="107"/>
      <c r="O50" s="107"/>
      <c r="P50" s="107"/>
      <c r="Q50" s="107"/>
      <c r="R50" s="279"/>
      <c r="S50" s="107"/>
      <c r="T50" s="107"/>
      <c r="U50" s="107">
        <v>34.300961069822492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4.2284350140000004</v>
      </c>
      <c r="AP50" s="108"/>
      <c r="AQ50" s="111">
        <v>38.52939608382249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6.4611345173021695</v>
      </c>
      <c r="M51" s="107"/>
      <c r="N51" s="107"/>
      <c r="O51" s="107"/>
      <c r="P51" s="107">
        <v>0.77232222222222213</v>
      </c>
      <c r="Q51" s="107"/>
      <c r="R51" s="107">
        <v>5.6888122950799476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6.4611345173021695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440.08001064484012</v>
      </c>
      <c r="M52" s="279"/>
      <c r="N52" s="279"/>
      <c r="O52" s="279"/>
      <c r="P52" s="161"/>
      <c r="Q52" s="279"/>
      <c r="R52" s="279">
        <v>440.08001064484012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440.08001064484012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193.65604953763068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193.65604953763068</v>
      </c>
      <c r="V53" s="279"/>
      <c r="W53" s="281"/>
      <c r="X53" s="281"/>
      <c r="Y53" s="281"/>
      <c r="Z53" s="279"/>
      <c r="AA53" s="260"/>
      <c r="AB53" s="285">
        <v>11.184978804767978</v>
      </c>
      <c r="AC53" s="286"/>
      <c r="AD53" s="279"/>
      <c r="AE53" s="279"/>
      <c r="AF53" s="279"/>
      <c r="AG53" s="279"/>
      <c r="AH53" s="279"/>
      <c r="AI53" s="107">
        <v>11.184978804767978</v>
      </c>
      <c r="AJ53" s="107">
        <v>0</v>
      </c>
      <c r="AK53" s="279"/>
      <c r="AL53" s="279"/>
      <c r="AM53" s="279"/>
      <c r="AN53" s="260"/>
      <c r="AO53" s="110"/>
      <c r="AP53" s="285"/>
      <c r="AQ53" s="287">
        <v>204.84102834239866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116.87481867793744</v>
      </c>
      <c r="M54" s="279"/>
      <c r="N54" s="279"/>
      <c r="O54" s="279"/>
      <c r="P54" s="279"/>
      <c r="Q54" s="279"/>
      <c r="R54" s="279"/>
      <c r="S54" s="279"/>
      <c r="T54" s="279"/>
      <c r="U54" s="279">
        <v>116.87481867793744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116.87481867793744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444.5124033437142</v>
      </c>
      <c r="M55" s="166"/>
      <c r="N55" s="166"/>
      <c r="O55" s="166"/>
      <c r="P55" s="166">
        <v>118.45980358002936</v>
      </c>
      <c r="Q55" s="166"/>
      <c r="R55" s="166"/>
      <c r="S55" s="166">
        <v>0</v>
      </c>
      <c r="T55" s="166"/>
      <c r="U55" s="166">
        <v>326.05259976368484</v>
      </c>
      <c r="V55" s="166"/>
      <c r="W55" s="167"/>
      <c r="X55" s="167"/>
      <c r="Y55" s="167"/>
      <c r="Z55" s="166"/>
      <c r="AA55" s="172">
        <v>15.137541752060784</v>
      </c>
      <c r="AB55" s="170">
        <v>22.765812894567684</v>
      </c>
      <c r="AC55" s="171"/>
      <c r="AD55" s="166"/>
      <c r="AE55" s="166"/>
      <c r="AF55" s="166"/>
      <c r="AG55" s="166"/>
      <c r="AH55" s="166"/>
      <c r="AI55" s="166">
        <v>18.831797025208129</v>
      </c>
      <c r="AJ55" s="166">
        <v>3.9340158693595559</v>
      </c>
      <c r="AK55" s="165"/>
      <c r="AL55" s="167"/>
      <c r="AM55" s="166"/>
      <c r="AN55" s="168"/>
      <c r="AO55" s="172"/>
      <c r="AP55" s="170"/>
      <c r="AQ55" s="173">
        <v>482.41575799034263</v>
      </c>
    </row>
    <row r="56" spans="1:43" s="11" customFormat="1" ht="12.75" customHeight="1">
      <c r="A56" s="290" t="s">
        <v>146</v>
      </c>
      <c r="B56" s="291"/>
      <c r="C56" s="292">
        <v>185.64328067126633</v>
      </c>
      <c r="D56" s="293">
        <v>82.23008275680219</v>
      </c>
      <c r="E56" s="102">
        <v>91.047445254885133</v>
      </c>
      <c r="F56" s="294"/>
      <c r="G56" s="294">
        <v>12.365752659579005</v>
      </c>
      <c r="H56" s="295">
        <v>179.95417103</v>
      </c>
      <c r="I56" s="293"/>
      <c r="J56" s="296">
        <v>127.70399999999999</v>
      </c>
      <c r="K56" s="184">
        <v>52.250171030000004</v>
      </c>
      <c r="L56" s="295">
        <v>1294.9926496600206</v>
      </c>
      <c r="M56" s="184"/>
      <c r="N56" s="184"/>
      <c r="O56" s="184"/>
      <c r="P56" s="184">
        <v>0</v>
      </c>
      <c r="Q56" s="184">
        <v>892.28578929848231</v>
      </c>
      <c r="R56" s="184"/>
      <c r="S56" s="184">
        <v>0</v>
      </c>
      <c r="T56" s="184">
        <v>47.769438325478852</v>
      </c>
      <c r="U56" s="184">
        <v>348.07910995849323</v>
      </c>
      <c r="V56" s="184">
        <v>6.858312077566163</v>
      </c>
      <c r="W56" s="294"/>
      <c r="X56" s="294"/>
      <c r="Y56" s="294"/>
      <c r="Z56" s="184"/>
      <c r="AA56" s="295">
        <v>594.99540666478595</v>
      </c>
      <c r="AB56" s="297">
        <v>97.359069484931013</v>
      </c>
      <c r="AC56" s="298"/>
      <c r="AD56" s="184"/>
      <c r="AE56" s="184">
        <v>26.319532072414965</v>
      </c>
      <c r="AF56" s="184"/>
      <c r="AG56" s="184"/>
      <c r="AH56" s="184"/>
      <c r="AI56" s="184"/>
      <c r="AJ56" s="184"/>
      <c r="AK56" s="293"/>
      <c r="AL56" s="294">
        <v>13.844881309543936</v>
      </c>
      <c r="AM56" s="184">
        <v>57.194656102972118</v>
      </c>
      <c r="AN56" s="295"/>
      <c r="AO56" s="295">
        <v>759.12156202136009</v>
      </c>
      <c r="AP56" s="297"/>
      <c r="AQ56" s="185">
        <v>3112.0661395323641</v>
      </c>
    </row>
    <row r="57" spans="1:43" s="11" customFormat="1" ht="12.75" customHeight="1">
      <c r="A57" s="290" t="s">
        <v>171</v>
      </c>
      <c r="B57" s="291"/>
      <c r="C57" s="292">
        <v>0.19697037593984965</v>
      </c>
      <c r="D57" s="18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193.27720830708648</v>
      </c>
      <c r="M57" s="184">
        <v>0</v>
      </c>
      <c r="N57" s="184">
        <v>0</v>
      </c>
      <c r="O57" s="184">
        <v>0</v>
      </c>
      <c r="P57" s="184">
        <v>0</v>
      </c>
      <c r="Q57" s="184">
        <v>46.506999999999998</v>
      </c>
      <c r="R57" s="184">
        <v>0</v>
      </c>
      <c r="S57" s="184">
        <v>0.2093031229578676</v>
      </c>
      <c r="T57" s="184">
        <v>60.584905184128601</v>
      </c>
      <c r="U57" s="184">
        <v>85.976000000000013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350.84055037500821</v>
      </c>
      <c r="AB57" s="297">
        <v>46.792425676485458</v>
      </c>
      <c r="AC57" s="298">
        <v>0</v>
      </c>
      <c r="AD57" s="184">
        <v>0</v>
      </c>
      <c r="AE57" s="184">
        <v>18.556824716103481</v>
      </c>
      <c r="AF57" s="184">
        <v>0</v>
      </c>
      <c r="AG57" s="184">
        <v>0</v>
      </c>
      <c r="AH57" s="184">
        <v>6.1461716993494075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21.922934599375363</v>
      </c>
      <c r="AN57" s="295">
        <v>0</v>
      </c>
      <c r="AO57" s="295">
        <v>1172.7324160599021</v>
      </c>
      <c r="AP57" s="297">
        <v>0</v>
      </c>
      <c r="AQ57" s="299">
        <v>1763.8395707944221</v>
      </c>
    </row>
    <row r="58" spans="1:43" s="11" customFormat="1" ht="12.75" customHeight="1">
      <c r="A58" s="290" t="s">
        <v>172</v>
      </c>
      <c r="B58" s="291"/>
      <c r="C58" s="292">
        <v>0.19697037593984965</v>
      </c>
      <c r="D58" s="298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88.722671740664964</v>
      </c>
      <c r="M58" s="184">
        <v>0</v>
      </c>
      <c r="N58" s="294">
        <v>0</v>
      </c>
      <c r="O58" s="294">
        <v>0</v>
      </c>
      <c r="P58" s="297">
        <v>0</v>
      </c>
      <c r="Q58" s="297">
        <v>11.955</v>
      </c>
      <c r="R58" s="297">
        <v>0</v>
      </c>
      <c r="S58" s="297">
        <v>0</v>
      </c>
      <c r="T58" s="297">
        <v>32.391671740664968</v>
      </c>
      <c r="U58" s="297">
        <v>44.376000000000005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199.12623104439464</v>
      </c>
      <c r="AB58" s="297">
        <v>32.464446581593812</v>
      </c>
      <c r="AC58" s="298">
        <v>0</v>
      </c>
      <c r="AD58" s="184">
        <v>0</v>
      </c>
      <c r="AE58" s="184">
        <v>8.3371845661612429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21.922934599375363</v>
      </c>
      <c r="AN58" s="295">
        <v>0</v>
      </c>
      <c r="AO58" s="295">
        <v>917.30081273781627</v>
      </c>
      <c r="AP58" s="297">
        <v>0</v>
      </c>
      <c r="AQ58" s="299">
        <v>1237.8111324804095</v>
      </c>
    </row>
    <row r="59" spans="1:43" s="11" customFormat="1" ht="12.75" customHeight="1">
      <c r="A59" s="98" t="s">
        <v>173</v>
      </c>
      <c r="B59" s="302" t="s">
        <v>174</v>
      </c>
      <c r="C59" s="151">
        <v>9.9984962406015031E-3</v>
      </c>
      <c r="D59" s="109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32.007838927052546</v>
      </c>
      <c r="M59" s="202"/>
      <c r="N59" s="304"/>
      <c r="O59" s="304"/>
      <c r="P59" s="157"/>
      <c r="Q59" s="257">
        <v>3.9159999999999999</v>
      </c>
      <c r="R59" s="157"/>
      <c r="S59" s="257">
        <v>0</v>
      </c>
      <c r="T59" s="257">
        <v>14.672838927052545</v>
      </c>
      <c r="U59" s="257">
        <v>13.419</v>
      </c>
      <c r="V59" s="257">
        <v>0</v>
      </c>
      <c r="W59" s="157"/>
      <c r="X59" s="157"/>
      <c r="Y59" s="304"/>
      <c r="Z59" s="275"/>
      <c r="AA59" s="110">
        <v>39.039904934292842</v>
      </c>
      <c r="AB59" s="157">
        <v>2.0653084562036264</v>
      </c>
      <c r="AC59" s="305"/>
      <c r="AD59" s="202"/>
      <c r="AE59" s="153">
        <v>2.0653084562036264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201.61379394585154</v>
      </c>
      <c r="AP59" s="157"/>
      <c r="AQ59" s="186">
        <v>274.73684475964114</v>
      </c>
    </row>
    <row r="60" spans="1:43" s="11" customFormat="1" ht="12.75" customHeight="1">
      <c r="A60" s="98" t="s">
        <v>175</v>
      </c>
      <c r="B60" s="302" t="s">
        <v>176</v>
      </c>
      <c r="C60" s="100">
        <v>0</v>
      </c>
      <c r="D60" s="109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21.647720800299375</v>
      </c>
      <c r="M60" s="112"/>
      <c r="N60" s="102"/>
      <c r="O60" s="102"/>
      <c r="P60" s="108"/>
      <c r="Q60" s="257">
        <v>1.4870000000000001</v>
      </c>
      <c r="R60" s="108"/>
      <c r="S60" s="257">
        <v>0</v>
      </c>
      <c r="T60" s="257">
        <v>2.8377208002993743</v>
      </c>
      <c r="U60" s="257">
        <v>17.323</v>
      </c>
      <c r="V60" s="257">
        <v>0</v>
      </c>
      <c r="W60" s="108"/>
      <c r="X60" s="108"/>
      <c r="Y60" s="102"/>
      <c r="Z60" s="101"/>
      <c r="AA60" s="110">
        <v>15.270768254995611</v>
      </c>
      <c r="AB60" s="108">
        <v>1.08720038735828E-2</v>
      </c>
      <c r="AC60" s="308"/>
      <c r="AD60" s="112"/>
      <c r="AE60" s="107">
        <v>1.08720038735828E-2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48.085402334572542</v>
      </c>
      <c r="AP60" s="108"/>
      <c r="AQ60" s="111">
        <v>85.014763393741106</v>
      </c>
    </row>
    <row r="61" spans="1:43" s="11" customFormat="1" ht="12.75" customHeight="1">
      <c r="A61" s="98" t="s">
        <v>177</v>
      </c>
      <c r="B61" s="302" t="s">
        <v>178</v>
      </c>
      <c r="C61" s="100">
        <v>0.17997293233082706</v>
      </c>
      <c r="D61" s="109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13.710399338914931</v>
      </c>
      <c r="M61" s="112"/>
      <c r="N61" s="102"/>
      <c r="O61" s="102"/>
      <c r="P61" s="108"/>
      <c r="Q61" s="257">
        <v>3.5459999999999998</v>
      </c>
      <c r="R61" s="108"/>
      <c r="S61" s="257">
        <v>0</v>
      </c>
      <c r="T61" s="257">
        <v>8.8463993389149316</v>
      </c>
      <c r="U61" s="257">
        <v>1.3180000000000001</v>
      </c>
      <c r="V61" s="257">
        <v>0</v>
      </c>
      <c r="W61" s="108"/>
      <c r="X61" s="108"/>
      <c r="Y61" s="102"/>
      <c r="Z61" s="101"/>
      <c r="AA61" s="110">
        <v>31.552429668498608</v>
      </c>
      <c r="AB61" s="108">
        <v>2.8031448950466231</v>
      </c>
      <c r="AC61" s="308"/>
      <c r="AD61" s="112"/>
      <c r="AE61" s="107">
        <v>2.8031448950466231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91.760678618043954</v>
      </c>
      <c r="AP61" s="108"/>
      <c r="AQ61" s="111">
        <v>140.00662545283495</v>
      </c>
    </row>
    <row r="62" spans="1:43" s="11" customFormat="1" ht="12.75" customHeight="1">
      <c r="A62" s="98" t="s">
        <v>179</v>
      </c>
      <c r="B62" s="302" t="s">
        <v>180</v>
      </c>
      <c r="C62" s="100">
        <v>2.9995488721804514E-3</v>
      </c>
      <c r="D62" s="109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2.2370280983991604</v>
      </c>
      <c r="M62" s="112"/>
      <c r="N62" s="102"/>
      <c r="O62" s="102"/>
      <c r="P62" s="108"/>
      <c r="Q62" s="257">
        <v>0.218</v>
      </c>
      <c r="R62" s="108"/>
      <c r="S62" s="257">
        <v>0</v>
      </c>
      <c r="T62" s="257">
        <v>0.4790280983991605</v>
      </c>
      <c r="U62" s="257">
        <v>1.54</v>
      </c>
      <c r="V62" s="257">
        <v>0</v>
      </c>
      <c r="W62" s="108"/>
      <c r="X62" s="108"/>
      <c r="Y62" s="102"/>
      <c r="Z62" s="101"/>
      <c r="AA62" s="110">
        <v>33.51651326909569</v>
      </c>
      <c r="AB62" s="108">
        <v>0.14065190212569353</v>
      </c>
      <c r="AC62" s="308"/>
      <c r="AD62" s="112"/>
      <c r="AE62" s="107">
        <v>0.14065190212569353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440.09900949520903</v>
      </c>
      <c r="AP62" s="108"/>
      <c r="AQ62" s="111">
        <v>475.99620231370176</v>
      </c>
    </row>
    <row r="63" spans="1:43" s="11" customFormat="1" ht="12.75" customHeight="1">
      <c r="A63" s="98" t="s">
        <v>181</v>
      </c>
      <c r="B63" s="302" t="s">
        <v>182</v>
      </c>
      <c r="C63" s="100">
        <v>9.9984962406015026E-4</v>
      </c>
      <c r="D63" s="286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1.6146653250259106</v>
      </c>
      <c r="M63" s="112"/>
      <c r="N63" s="102"/>
      <c r="O63" s="102"/>
      <c r="P63" s="108"/>
      <c r="Q63" s="309">
        <v>0.995</v>
      </c>
      <c r="R63" s="108"/>
      <c r="S63" s="309">
        <v>0</v>
      </c>
      <c r="T63" s="309">
        <v>0.10066532502591054</v>
      </c>
      <c r="U63" s="309">
        <v>0.51900000000000002</v>
      </c>
      <c r="V63" s="309">
        <v>0</v>
      </c>
      <c r="W63" s="108"/>
      <c r="X63" s="108"/>
      <c r="Y63" s="102"/>
      <c r="Z63" s="101"/>
      <c r="AA63" s="343">
        <v>15.689295552556835</v>
      </c>
      <c r="AB63" s="108">
        <v>1.372487577493325</v>
      </c>
      <c r="AC63" s="308"/>
      <c r="AD63" s="112"/>
      <c r="AE63" s="107">
        <v>1.372487577493325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39.933318386226787</v>
      </c>
      <c r="AP63" s="108"/>
      <c r="AQ63" s="111">
        <v>58.610766690926916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17.505019250973049</v>
      </c>
      <c r="M64" s="289"/>
      <c r="N64" s="313"/>
      <c r="O64" s="313"/>
      <c r="P64" s="170"/>
      <c r="Q64" s="309">
        <v>1.7929999999999999</v>
      </c>
      <c r="R64" s="170"/>
      <c r="S64" s="309">
        <v>0</v>
      </c>
      <c r="T64" s="309">
        <v>5.4550192509730486</v>
      </c>
      <c r="U64" s="309">
        <v>10.257000000000001</v>
      </c>
      <c r="V64" s="309">
        <v>0</v>
      </c>
      <c r="W64" s="170"/>
      <c r="X64" s="170"/>
      <c r="Y64" s="313"/>
      <c r="Z64" s="288"/>
      <c r="AA64" s="343">
        <v>64.057319364955063</v>
      </c>
      <c r="AB64" s="170">
        <v>26.071981746850962</v>
      </c>
      <c r="AC64" s="314"/>
      <c r="AD64" s="289"/>
      <c r="AE64" s="166">
        <v>1.9447197314183922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21.922934599375363</v>
      </c>
      <c r="AN64" s="168"/>
      <c r="AO64" s="343">
        <v>95.808609957912182</v>
      </c>
      <c r="AP64" s="170"/>
      <c r="AQ64" s="173">
        <v>203.44592986956343</v>
      </c>
    </row>
    <row r="65" spans="1:43" ht="12.75" customHeight="1">
      <c r="A65" s="290" t="s">
        <v>184</v>
      </c>
      <c r="B65" s="291"/>
      <c r="C65" s="164">
        <v>0</v>
      </c>
      <c r="D65" s="298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104.55453656642152</v>
      </c>
      <c r="M65" s="166"/>
      <c r="N65" s="167"/>
      <c r="O65" s="167"/>
      <c r="P65" s="263"/>
      <c r="Q65" s="297">
        <v>34.552</v>
      </c>
      <c r="R65" s="263"/>
      <c r="S65" s="297">
        <v>0.2093031229578676</v>
      </c>
      <c r="T65" s="297">
        <v>28.193233443463637</v>
      </c>
      <c r="U65" s="297">
        <v>41.600000000000009</v>
      </c>
      <c r="V65" s="297">
        <v>0</v>
      </c>
      <c r="W65" s="263"/>
      <c r="X65" s="263"/>
      <c r="Y65" s="167"/>
      <c r="Z65" s="166"/>
      <c r="AA65" s="295">
        <v>151.71431933061359</v>
      </c>
      <c r="AB65" s="170">
        <v>14.327979094891646</v>
      </c>
      <c r="AC65" s="171"/>
      <c r="AD65" s="166"/>
      <c r="AE65" s="166">
        <v>10.219640149942238</v>
      </c>
      <c r="AF65" s="166"/>
      <c r="AG65" s="166"/>
      <c r="AH65" s="166">
        <v>4.1083389449494074</v>
      </c>
      <c r="AI65" s="166"/>
      <c r="AJ65" s="166"/>
      <c r="AK65" s="166"/>
      <c r="AL65" s="166"/>
      <c r="AM65" s="167"/>
      <c r="AN65" s="168"/>
      <c r="AO65" s="295">
        <v>255.43160332208581</v>
      </c>
      <c r="AP65" s="170"/>
      <c r="AQ65" s="315">
        <v>526.02843831401253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5.5000257644508448</v>
      </c>
      <c r="M66" s="201"/>
      <c r="N66" s="203"/>
      <c r="O66" s="154"/>
      <c r="P66" s="203"/>
      <c r="Q66" s="203">
        <v>0.13</v>
      </c>
      <c r="R66" s="203"/>
      <c r="S66" s="203">
        <v>3.6784380133192906E-4</v>
      </c>
      <c r="T66" s="203">
        <v>1.5186579206495123</v>
      </c>
      <c r="U66" s="203">
        <v>3.851</v>
      </c>
      <c r="V66" s="203">
        <v>0</v>
      </c>
      <c r="W66" s="203"/>
      <c r="X66" s="203"/>
      <c r="Y66" s="154"/>
      <c r="Z66" s="153"/>
      <c r="AA66" s="159">
        <v>10.086288746985907</v>
      </c>
      <c r="AB66" s="157">
        <v>4.1083389449494074</v>
      </c>
      <c r="AC66" s="158"/>
      <c r="AD66" s="153"/>
      <c r="AE66" s="153">
        <v>0</v>
      </c>
      <c r="AF66" s="153"/>
      <c r="AG66" s="153"/>
      <c r="AH66" s="153">
        <v>4.1083389449494074</v>
      </c>
      <c r="AI66" s="153"/>
      <c r="AJ66" s="153"/>
      <c r="AK66" s="153"/>
      <c r="AL66" s="153"/>
      <c r="AM66" s="154"/>
      <c r="AN66" s="155"/>
      <c r="AO66" s="159">
        <v>78.238382339269407</v>
      </c>
      <c r="AP66" s="157"/>
      <c r="AQ66" s="186">
        <v>97.93303579565557</v>
      </c>
    </row>
    <row r="67" spans="1:43" ht="12.75" customHeight="1">
      <c r="A67" s="319" t="s">
        <v>187</v>
      </c>
      <c r="B67" s="320">
        <v>84</v>
      </c>
      <c r="C67" s="100">
        <v>0</v>
      </c>
      <c r="D67" s="254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34.745768944955501</v>
      </c>
      <c r="M67" s="321"/>
      <c r="N67" s="257"/>
      <c r="O67" s="103"/>
      <c r="P67" s="257"/>
      <c r="Q67" s="247">
        <v>6.5960000000000001</v>
      </c>
      <c r="R67" s="257"/>
      <c r="S67" s="247">
        <v>4.7819694173150762E-3</v>
      </c>
      <c r="T67" s="247">
        <v>10.463986975538182</v>
      </c>
      <c r="U67" s="247">
        <v>17.681000000000001</v>
      </c>
      <c r="V67" s="247">
        <v>0</v>
      </c>
      <c r="W67" s="257"/>
      <c r="X67" s="257"/>
      <c r="Y67" s="103"/>
      <c r="Z67" s="107"/>
      <c r="AA67" s="260">
        <v>48.555009830156806</v>
      </c>
      <c r="AB67" s="108">
        <v>6.6001424190744444</v>
      </c>
      <c r="AC67" s="109"/>
      <c r="AD67" s="107"/>
      <c r="AE67" s="107">
        <v>6.6001424190744444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82.001963801363772</v>
      </c>
      <c r="AP67" s="108"/>
      <c r="AQ67" s="111">
        <v>171.90288499555052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48.677593042232964</v>
      </c>
      <c r="M68" s="321"/>
      <c r="N68" s="257"/>
      <c r="O68" s="103"/>
      <c r="P68" s="257"/>
      <c r="Q68" s="247">
        <v>21.58</v>
      </c>
      <c r="R68" s="257"/>
      <c r="S68" s="247">
        <v>6.2901290027759862E-2</v>
      </c>
      <c r="T68" s="247">
        <v>11.916691752205203</v>
      </c>
      <c r="U68" s="247">
        <v>15.118</v>
      </c>
      <c r="V68" s="247">
        <v>0</v>
      </c>
      <c r="W68" s="257"/>
      <c r="X68" s="257"/>
      <c r="Y68" s="103"/>
      <c r="Z68" s="107"/>
      <c r="AA68" s="260">
        <v>34.033646474459303</v>
      </c>
      <c r="AB68" s="108">
        <v>1.9549704861033355</v>
      </c>
      <c r="AC68" s="109"/>
      <c r="AD68" s="107"/>
      <c r="AE68" s="107">
        <v>1.9549704861033355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50.974310598495592</v>
      </c>
      <c r="AP68" s="108"/>
      <c r="AQ68" s="111">
        <v>135.6405206012912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15.631148814782197</v>
      </c>
      <c r="M69" s="323"/>
      <c r="N69" s="263"/>
      <c r="O69" s="167"/>
      <c r="P69" s="263"/>
      <c r="Q69" s="263">
        <v>6.2460000000000004</v>
      </c>
      <c r="R69" s="263"/>
      <c r="S69" s="263">
        <v>0.14125201971146076</v>
      </c>
      <c r="T69" s="263">
        <v>4.2938967950707356</v>
      </c>
      <c r="U69" s="263">
        <v>4.95</v>
      </c>
      <c r="V69" s="263">
        <v>0</v>
      </c>
      <c r="W69" s="263"/>
      <c r="X69" s="263"/>
      <c r="Y69" s="167"/>
      <c r="Z69" s="166"/>
      <c r="AA69" s="172">
        <v>59.039374279011589</v>
      </c>
      <c r="AB69" s="285">
        <v>1.6645272447644588</v>
      </c>
      <c r="AC69" s="286"/>
      <c r="AD69" s="279"/>
      <c r="AE69" s="279">
        <v>1.6645272447644588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44.216946582957007</v>
      </c>
      <c r="AP69" s="285"/>
      <c r="AQ69" s="287">
        <v>120.55199692151525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183.99462241984816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183.99462241984816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47.636525978639845</v>
      </c>
      <c r="AP70" s="195"/>
      <c r="AQ70" s="185">
        <v>231.63114839848799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18.763876098055789</v>
      </c>
      <c r="M71" s="166"/>
      <c r="N71" s="166"/>
      <c r="O71" s="166"/>
      <c r="P71" s="166"/>
      <c r="Q71" s="166"/>
      <c r="R71" s="166"/>
      <c r="S71" s="166"/>
      <c r="T71" s="166"/>
      <c r="U71" s="289">
        <v>18.763876098055789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18.763876098055789</v>
      </c>
    </row>
    <row r="72" spans="1:43" ht="12.75" customHeight="1" thickBot="1">
      <c r="A72" s="218" t="s">
        <v>149</v>
      </c>
      <c r="B72" s="219"/>
      <c r="C72" s="220">
        <v>-10.179316988273911</v>
      </c>
      <c r="D72" s="221">
        <v>-1.3051197176785934</v>
      </c>
      <c r="E72" s="222">
        <v>-9.223765337193214</v>
      </c>
      <c r="F72" s="226">
        <v>0</v>
      </c>
      <c r="G72" s="226">
        <v>0.34956806659775985</v>
      </c>
      <c r="H72" s="223">
        <v>0.24035970799906181</v>
      </c>
      <c r="I72" s="221">
        <v>-1.4245832620936483E-2</v>
      </c>
      <c r="J72" s="224">
        <v>0</v>
      </c>
      <c r="K72" s="222">
        <v>0.2546055406200054</v>
      </c>
      <c r="L72" s="223">
        <v>-85.001688912403552</v>
      </c>
      <c r="M72" s="222">
        <v>4.5474735088646412E-13</v>
      </c>
      <c r="N72" s="222">
        <v>-2.3922852809526773E-2</v>
      </c>
      <c r="O72" s="222">
        <v>-1.9449701745053574</v>
      </c>
      <c r="P72" s="222">
        <v>-8.2813634777778589</v>
      </c>
      <c r="Q72" s="222">
        <v>-8.0368182003201127</v>
      </c>
      <c r="R72" s="222">
        <v>-19.736060445360351</v>
      </c>
      <c r="S72" s="222">
        <v>3.0905823663056111</v>
      </c>
      <c r="T72" s="222">
        <v>3.717566962707906</v>
      </c>
      <c r="U72" s="222">
        <v>-54.791960177372857</v>
      </c>
      <c r="V72" s="222">
        <v>0.52280308534540154</v>
      </c>
      <c r="W72" s="226">
        <v>0.48245400138121397</v>
      </c>
      <c r="X72" s="226">
        <v>0</v>
      </c>
      <c r="Y72" s="226">
        <v>0</v>
      </c>
      <c r="Z72" s="222">
        <v>0</v>
      </c>
      <c r="AA72" s="223">
        <v>2.5755218364713528</v>
      </c>
      <c r="AB72" s="225">
        <v>-2.932764178367222</v>
      </c>
      <c r="AC72" s="331">
        <v>0</v>
      </c>
      <c r="AD72" s="222">
        <v>0</v>
      </c>
      <c r="AE72" s="222">
        <v>-4.5444083853595316</v>
      </c>
      <c r="AF72" s="222">
        <v>0</v>
      </c>
      <c r="AG72" s="222">
        <v>0</v>
      </c>
      <c r="AH72" s="222">
        <v>0</v>
      </c>
      <c r="AI72" s="222">
        <v>2.0230526391359831</v>
      </c>
      <c r="AJ72" s="222">
        <v>-0.41140843214399681</v>
      </c>
      <c r="AK72" s="221">
        <v>0</v>
      </c>
      <c r="AL72" s="226">
        <v>0</v>
      </c>
      <c r="AM72" s="222">
        <v>0</v>
      </c>
      <c r="AN72" s="223">
        <v>0</v>
      </c>
      <c r="AO72" s="223">
        <v>-38.734356031604875</v>
      </c>
      <c r="AP72" s="225">
        <v>0</v>
      </c>
      <c r="AQ72" s="227">
        <v>-134.03224456617914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441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442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5">
      <c r="A77" s="336" t="s">
        <v>443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5">
      <c r="A78" s="24" t="s">
        <v>444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4.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4754-5F09-46A8-B76E-8FC9FE185454}">
  <dimension ref="A1:AQ78"/>
  <sheetViews>
    <sheetView topLeftCell="A2" zoomScale="70" zoomScaleNormal="70" workbookViewId="0">
      <selection activeCell="L38" sqref="L38"/>
    </sheetView>
  </sheetViews>
  <sheetFormatPr defaultRowHeight="14.5"/>
  <cols>
    <col min="1" max="1" width="47.26953125" customWidth="1"/>
    <col min="2" max="2" width="15.26953125" customWidth="1"/>
  </cols>
  <sheetData>
    <row r="1" spans="1:43" ht="134.5" customHeight="1" thickBot="1">
      <c r="A1" s="72" t="s">
        <v>541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1164.6782896169382</v>
      </c>
      <c r="AB2" s="94">
        <v>1712.0426750292418</v>
      </c>
      <c r="AC2" s="95">
        <v>60.297021708399988</v>
      </c>
      <c r="AD2" s="91">
        <v>963.91688988232602</v>
      </c>
      <c r="AE2" s="91">
        <v>251.38414363501695</v>
      </c>
      <c r="AF2" s="91">
        <v>151.68969874694326</v>
      </c>
      <c r="AG2" s="91">
        <v>25.781253351946191</v>
      </c>
      <c r="AH2" s="91">
        <v>27.534147074031488</v>
      </c>
      <c r="AI2" s="91">
        <v>99.379608152160003</v>
      </c>
      <c r="AJ2" s="91">
        <v>4.9110335291519993</v>
      </c>
      <c r="AK2" s="89">
        <v>12.778033106111009</v>
      </c>
      <c r="AL2" s="89">
        <v>14.055233512887737</v>
      </c>
      <c r="AM2" s="87">
        <v>100.3156123302669</v>
      </c>
      <c r="AN2" s="96">
        <v>148.37784835518525</v>
      </c>
      <c r="AO2" s="96"/>
      <c r="AP2" s="94"/>
      <c r="AQ2" s="97">
        <v>3152.8028130013649</v>
      </c>
    </row>
    <row r="3" spans="1:43">
      <c r="A3" s="98" t="s">
        <v>94</v>
      </c>
      <c r="B3" s="99"/>
      <c r="C3" s="100">
        <v>956.64283118593153</v>
      </c>
      <c r="D3" s="101">
        <v>892.10074650065667</v>
      </c>
      <c r="E3" s="102">
        <v>58.876630645225525</v>
      </c>
      <c r="F3" s="103"/>
      <c r="G3" s="103">
        <v>5.665454040049319</v>
      </c>
      <c r="H3" s="104">
        <v>0</v>
      </c>
      <c r="I3" s="105"/>
      <c r="J3" s="106"/>
      <c r="K3" s="107"/>
      <c r="L3" s="104">
        <v>8877.0276914282949</v>
      </c>
      <c r="M3" s="105">
        <v>3198.9821538733995</v>
      </c>
      <c r="N3" s="105">
        <v>0</v>
      </c>
      <c r="O3" s="107">
        <v>0</v>
      </c>
      <c r="P3" s="107">
        <v>422.97065088888883</v>
      </c>
      <c r="Q3" s="107">
        <v>319.52189814272003</v>
      </c>
      <c r="R3" s="107">
        <v>1210.3393670318399</v>
      </c>
      <c r="S3" s="107">
        <v>248.73011726242933</v>
      </c>
      <c r="T3" s="107">
        <v>173.71796591503914</v>
      </c>
      <c r="U3" s="107">
        <v>2874.0005037484366</v>
      </c>
      <c r="V3" s="107">
        <v>169.13840913077664</v>
      </c>
      <c r="W3" s="103">
        <v>0</v>
      </c>
      <c r="X3" s="103">
        <v>201.6725116863816</v>
      </c>
      <c r="Y3" s="103">
        <v>0.9728020221399889</v>
      </c>
      <c r="Z3" s="107">
        <v>56.981311726244549</v>
      </c>
      <c r="AA3" s="104">
        <v>3306.4919103708221</v>
      </c>
      <c r="AB3" s="108">
        <v>178.49686892462404</v>
      </c>
      <c r="AC3" s="109"/>
      <c r="AD3" s="107"/>
      <c r="AE3" s="107">
        <v>22.021085232239997</v>
      </c>
      <c r="AF3" s="107"/>
      <c r="AG3" s="107"/>
      <c r="AH3" s="107"/>
      <c r="AI3" s="107">
        <v>137.64061021334402</v>
      </c>
      <c r="AJ3" s="107">
        <v>18.835173479039998</v>
      </c>
      <c r="AK3" s="105"/>
      <c r="AL3" s="105"/>
      <c r="AM3" s="103"/>
      <c r="AN3" s="110"/>
      <c r="AO3" s="110">
        <v>136.02009399999997</v>
      </c>
      <c r="AP3" s="108"/>
      <c r="AQ3" s="111">
        <v>13454.67939590967</v>
      </c>
    </row>
    <row r="4" spans="1:43">
      <c r="A4" s="98" t="s">
        <v>95</v>
      </c>
      <c r="B4" s="99"/>
      <c r="C4" s="100">
        <v>37.816298274047988</v>
      </c>
      <c r="D4" s="101">
        <v>0</v>
      </c>
      <c r="E4" s="112">
        <v>37.287369536999989</v>
      </c>
      <c r="F4" s="103"/>
      <c r="G4" s="103">
        <v>0.52892873704799992</v>
      </c>
      <c r="H4" s="104">
        <v>1.2758399999999999</v>
      </c>
      <c r="I4" s="105"/>
      <c r="J4" s="106"/>
      <c r="K4" s="107">
        <v>1.2758399999999999</v>
      </c>
      <c r="L4" s="104">
        <v>1570.650171767699</v>
      </c>
      <c r="M4" s="105">
        <v>71.22440598339999</v>
      </c>
      <c r="N4" s="105">
        <v>0</v>
      </c>
      <c r="O4" s="107"/>
      <c r="P4" s="107">
        <v>286.21866322222223</v>
      </c>
      <c r="Q4" s="107">
        <v>71.359107223039999</v>
      </c>
      <c r="R4" s="107">
        <v>0</v>
      </c>
      <c r="S4" s="107">
        <v>846.05750815141232</v>
      </c>
      <c r="T4" s="107">
        <v>19.161215509138383</v>
      </c>
      <c r="U4" s="107">
        <v>126.06862883381233</v>
      </c>
      <c r="V4" s="107">
        <v>4.7865389115508883</v>
      </c>
      <c r="W4" s="103">
        <v>115.54112683770717</v>
      </c>
      <c r="X4" s="103">
        <v>20.55288238241026</v>
      </c>
      <c r="Y4" s="103">
        <v>5.6079871366638653E-2</v>
      </c>
      <c r="Z4" s="107">
        <v>9.6240148416389726</v>
      </c>
      <c r="AA4" s="104">
        <v>0</v>
      </c>
      <c r="AB4" s="108">
        <v>14.593062077760001</v>
      </c>
      <c r="AC4" s="109"/>
      <c r="AD4" s="107"/>
      <c r="AE4" s="107">
        <v>1.8328377599999997E-2</v>
      </c>
      <c r="AF4" s="107"/>
      <c r="AG4" s="107"/>
      <c r="AH4" s="107"/>
      <c r="AI4" s="107">
        <v>14.574733700160001</v>
      </c>
      <c r="AJ4" s="107">
        <v>0</v>
      </c>
      <c r="AK4" s="105"/>
      <c r="AL4" s="105"/>
      <c r="AM4" s="103"/>
      <c r="AN4" s="110"/>
      <c r="AO4" s="110">
        <v>114.356866</v>
      </c>
      <c r="AP4" s="108"/>
      <c r="AQ4" s="111">
        <v>1738.692238119507</v>
      </c>
    </row>
    <row r="5" spans="1:43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124.8789778413862</v>
      </c>
      <c r="M5" s="105"/>
      <c r="N5" s="105"/>
      <c r="O5" s="107"/>
      <c r="P5" s="107"/>
      <c r="Q5" s="107"/>
      <c r="R5" s="107"/>
      <c r="S5" s="107">
        <v>1.2569568310734465</v>
      </c>
      <c r="T5" s="107"/>
      <c r="U5" s="107">
        <v>123.62202101031275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124.8789778413862</v>
      </c>
    </row>
    <row r="6" spans="1:43" ht="15" thickBot="1">
      <c r="A6" s="113" t="s">
        <v>97</v>
      </c>
      <c r="B6" s="114"/>
      <c r="C6" s="100">
        <v>-191.94618685261571</v>
      </c>
      <c r="D6" s="115">
        <v>-215.09654110377988</v>
      </c>
      <c r="E6" s="103">
        <v>21.734980083400011</v>
      </c>
      <c r="F6" s="116"/>
      <c r="G6" s="116">
        <v>1.4153741677641596</v>
      </c>
      <c r="H6" s="117">
        <v>96.662180394139995</v>
      </c>
      <c r="I6" s="118">
        <v>94.210943263760001</v>
      </c>
      <c r="J6" s="119">
        <v>0</v>
      </c>
      <c r="K6" s="118">
        <v>2.4512371303799996</v>
      </c>
      <c r="L6" s="117">
        <v>-41.028887106940616</v>
      </c>
      <c r="M6" s="105">
        <v>-77.734862510599982</v>
      </c>
      <c r="N6" s="105">
        <v>-1.8340232664000014</v>
      </c>
      <c r="O6" s="107"/>
      <c r="P6" s="107">
        <v>2.2609886888889013</v>
      </c>
      <c r="Q6" s="107">
        <v>7.9276193360000073</v>
      </c>
      <c r="R6" s="107">
        <v>27.290117385360034</v>
      </c>
      <c r="S6" s="107">
        <v>-6.6707462480225983</v>
      </c>
      <c r="T6" s="107">
        <v>-1.6289544567101817</v>
      </c>
      <c r="U6" s="107">
        <v>27.072419977683797</v>
      </c>
      <c r="V6" s="107">
        <v>-17.567636841179276</v>
      </c>
      <c r="W6" s="116">
        <v>-0.14380917196132501</v>
      </c>
      <c r="X6" s="116">
        <v>0</v>
      </c>
      <c r="Y6" s="116">
        <v>0</v>
      </c>
      <c r="Z6" s="118">
        <v>0</v>
      </c>
      <c r="AA6" s="117">
        <v>0</v>
      </c>
      <c r="AB6" s="120">
        <v>-12.851764113267599</v>
      </c>
      <c r="AC6" s="121"/>
      <c r="AD6" s="122"/>
      <c r="AE6" s="122">
        <v>-0.60332250629160056</v>
      </c>
      <c r="AF6" s="122"/>
      <c r="AG6" s="122"/>
      <c r="AH6" s="122"/>
      <c r="AI6" s="122">
        <v>-11.941914736607998</v>
      </c>
      <c r="AJ6" s="122">
        <v>-0.30652687036800047</v>
      </c>
      <c r="AK6" s="118"/>
      <c r="AL6" s="118"/>
      <c r="AM6" s="116"/>
      <c r="AN6" s="123"/>
      <c r="AO6" s="123"/>
      <c r="AP6" s="120"/>
      <c r="AQ6" s="124">
        <v>-149.16465767868394</v>
      </c>
    </row>
    <row r="7" spans="1:43">
      <c r="A7" s="125" t="s">
        <v>98</v>
      </c>
      <c r="B7" s="126"/>
      <c r="C7" s="127">
        <v>726.88034605926782</v>
      </c>
      <c r="D7" s="128">
        <v>677.00420539687684</v>
      </c>
      <c r="E7" s="129">
        <v>43.324241191625546</v>
      </c>
      <c r="F7" s="129">
        <v>0</v>
      </c>
      <c r="G7" s="129">
        <v>6.5518994707654787</v>
      </c>
      <c r="H7" s="130">
        <v>223.09034039413999</v>
      </c>
      <c r="I7" s="128">
        <v>94.210943263760001</v>
      </c>
      <c r="J7" s="131">
        <v>127.70399999999999</v>
      </c>
      <c r="K7" s="129">
        <v>1.1753971303799997</v>
      </c>
      <c r="L7" s="130">
        <v>7140.4696547122685</v>
      </c>
      <c r="M7" s="128">
        <v>3050.0228853793992</v>
      </c>
      <c r="N7" s="128">
        <v>-1.8340232664000014</v>
      </c>
      <c r="O7" s="129">
        <v>0</v>
      </c>
      <c r="P7" s="129">
        <v>139.01297635555551</v>
      </c>
      <c r="Q7" s="129">
        <v>256.09041025568007</v>
      </c>
      <c r="R7" s="129">
        <v>1237.6294844171998</v>
      </c>
      <c r="S7" s="129">
        <v>-605.25509396807911</v>
      </c>
      <c r="T7" s="129">
        <v>152.9277959491906</v>
      </c>
      <c r="U7" s="129">
        <v>2651.3822738819949</v>
      </c>
      <c r="V7" s="129">
        <v>146.78423337804648</v>
      </c>
      <c r="W7" s="129">
        <v>-115.68493600966849</v>
      </c>
      <c r="X7" s="129">
        <v>181.11962930397135</v>
      </c>
      <c r="Y7" s="129">
        <v>0.91672215077335029</v>
      </c>
      <c r="Z7" s="129">
        <v>47.357296884605574</v>
      </c>
      <c r="AA7" s="130">
        <v>4471.1701999877605</v>
      </c>
      <c r="AB7" s="130">
        <v>1863.0947177628384</v>
      </c>
      <c r="AC7" s="128">
        <v>60.297021708399988</v>
      </c>
      <c r="AD7" s="129">
        <v>963.91688988232602</v>
      </c>
      <c r="AE7" s="129">
        <v>272.78357798336532</v>
      </c>
      <c r="AF7" s="129">
        <v>151.68969874694326</v>
      </c>
      <c r="AG7" s="129">
        <v>25.781253351946191</v>
      </c>
      <c r="AH7" s="129">
        <v>27.534147074031488</v>
      </c>
      <c r="AI7" s="129">
        <v>210.50356992873603</v>
      </c>
      <c r="AJ7" s="129">
        <v>23.439680137823999</v>
      </c>
      <c r="AK7" s="132">
        <v>12.778033106111009</v>
      </c>
      <c r="AL7" s="132">
        <v>14.055233512887737</v>
      </c>
      <c r="AM7" s="128">
        <v>100.3156123302669</v>
      </c>
      <c r="AN7" s="130">
        <v>148.37784835518525</v>
      </c>
      <c r="AO7" s="130">
        <v>21.663227999999975</v>
      </c>
      <c r="AP7" s="133">
        <v>0</v>
      </c>
      <c r="AQ7" s="134">
        <v>14594.74633527146</v>
      </c>
    </row>
    <row r="8" spans="1:43" ht="15" thickBot="1">
      <c r="A8" s="135" t="s">
        <v>99</v>
      </c>
      <c r="B8" s="136"/>
      <c r="C8" s="137">
        <v>726.88034605926782</v>
      </c>
      <c r="D8" s="138">
        <v>677.00420539687684</v>
      </c>
      <c r="E8" s="139">
        <v>43.324241191625546</v>
      </c>
      <c r="F8" s="140">
        <v>0</v>
      </c>
      <c r="G8" s="140">
        <v>6.5518994707654787</v>
      </c>
      <c r="H8" s="141">
        <v>223.09034039413999</v>
      </c>
      <c r="I8" s="138">
        <v>94.210943263760001</v>
      </c>
      <c r="J8" s="142">
        <v>127.70399999999999</v>
      </c>
      <c r="K8" s="139">
        <v>1.1753971303799997</v>
      </c>
      <c r="L8" s="141">
        <v>6911.0760063729185</v>
      </c>
      <c r="M8" s="138">
        <v>3050.0228853793992</v>
      </c>
      <c r="N8" s="138">
        <v>-1.8340232664000014</v>
      </c>
      <c r="O8" s="139">
        <v>0</v>
      </c>
      <c r="P8" s="139">
        <v>139.01297635555551</v>
      </c>
      <c r="Q8" s="139">
        <v>256.09041025568007</v>
      </c>
      <c r="R8" s="139">
        <v>1237.6294844171998</v>
      </c>
      <c r="S8" s="139">
        <v>-605.25509396807911</v>
      </c>
      <c r="T8" s="139">
        <v>152.9277959491906</v>
      </c>
      <c r="U8" s="139">
        <v>2651.3822738819949</v>
      </c>
      <c r="V8" s="139">
        <v>146.78423337804648</v>
      </c>
      <c r="W8" s="140">
        <v>-115.68493600966849</v>
      </c>
      <c r="X8" s="140">
        <v>0</v>
      </c>
      <c r="Y8" s="140">
        <v>0</v>
      </c>
      <c r="Z8" s="139">
        <v>0</v>
      </c>
      <c r="AA8" s="141">
        <v>4471.1701999877605</v>
      </c>
      <c r="AB8" s="143">
        <v>1863.0947177628384</v>
      </c>
      <c r="AC8" s="138">
        <v>60.297021708399988</v>
      </c>
      <c r="AD8" s="139">
        <v>963.91688988232602</v>
      </c>
      <c r="AE8" s="139">
        <v>272.78357798336532</v>
      </c>
      <c r="AF8" s="139">
        <v>151.68969874694326</v>
      </c>
      <c r="AG8" s="139">
        <v>25.781253351946191</v>
      </c>
      <c r="AH8" s="139">
        <v>27.534147074031488</v>
      </c>
      <c r="AI8" s="139">
        <v>210.50356992873603</v>
      </c>
      <c r="AJ8" s="139">
        <v>23.439680137823999</v>
      </c>
      <c r="AK8" s="144">
        <v>12.778033106111009</v>
      </c>
      <c r="AL8" s="144">
        <v>14.055233512887737</v>
      </c>
      <c r="AM8" s="138">
        <v>100.3156123302669</v>
      </c>
      <c r="AN8" s="141">
        <v>148.37784835518525</v>
      </c>
      <c r="AO8" s="141">
        <v>21.663227999999975</v>
      </c>
      <c r="AP8" s="138">
        <v>0</v>
      </c>
      <c r="AQ8" s="145">
        <v>14365.35268693211</v>
      </c>
    </row>
    <row r="9" spans="1:43">
      <c r="A9" s="125" t="s">
        <v>100</v>
      </c>
      <c r="B9" s="126"/>
      <c r="C9" s="127">
        <v>564.16446931607618</v>
      </c>
      <c r="D9" s="132">
        <v>564.16446931607618</v>
      </c>
      <c r="E9" s="129">
        <v>0</v>
      </c>
      <c r="F9" s="146">
        <v>0</v>
      </c>
      <c r="G9" s="146">
        <v>0</v>
      </c>
      <c r="H9" s="130">
        <v>88.017084602022493</v>
      </c>
      <c r="I9" s="132">
        <v>88.017084602022493</v>
      </c>
      <c r="J9" s="131">
        <v>0</v>
      </c>
      <c r="K9" s="129">
        <v>0</v>
      </c>
      <c r="L9" s="130">
        <v>3360.1357340391232</v>
      </c>
      <c r="M9" s="129">
        <v>3050.0228853793992</v>
      </c>
      <c r="N9" s="129">
        <v>54.651176343232891</v>
      </c>
      <c r="O9" s="129">
        <v>0</v>
      </c>
      <c r="P9" s="129">
        <v>0</v>
      </c>
      <c r="Q9" s="129">
        <v>0</v>
      </c>
      <c r="R9" s="129">
        <v>0</v>
      </c>
      <c r="S9" s="129">
        <v>226.52365412421747</v>
      </c>
      <c r="T9" s="129">
        <v>0.59343232181009264</v>
      </c>
      <c r="U9" s="129">
        <v>28.344585870463867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2612.1941204144973</v>
      </c>
      <c r="AB9" s="128">
        <v>242.74553112625969</v>
      </c>
      <c r="AC9" s="147">
        <v>0</v>
      </c>
      <c r="AD9" s="129">
        <v>0</v>
      </c>
      <c r="AE9" s="129">
        <v>108.5968246602994</v>
      </c>
      <c r="AF9" s="129">
        <v>97.775234898977814</v>
      </c>
      <c r="AG9" s="129">
        <v>25.781253351946191</v>
      </c>
      <c r="AH9" s="129">
        <v>10.592218215036286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90.000579195481436</v>
      </c>
      <c r="AO9" s="130">
        <v>41.886643999999997</v>
      </c>
      <c r="AP9" s="128">
        <v>0</v>
      </c>
      <c r="AQ9" s="148">
        <v>6999.1441626934611</v>
      </c>
    </row>
    <row r="10" spans="1:43">
      <c r="A10" s="149" t="s">
        <v>422</v>
      </c>
      <c r="B10" s="150"/>
      <c r="C10" s="151">
        <v>564.16446931607618</v>
      </c>
      <c r="D10" s="152">
        <v>564.16446931607618</v>
      </c>
      <c r="E10" s="153"/>
      <c r="F10" s="154"/>
      <c r="G10" s="154"/>
      <c r="H10" s="155">
        <v>50.01778562299129</v>
      </c>
      <c r="I10" s="152">
        <v>50.01778562299129</v>
      </c>
      <c r="J10" s="156">
        <v>0</v>
      </c>
      <c r="K10" s="153"/>
      <c r="L10" s="155">
        <v>254.86823999468135</v>
      </c>
      <c r="M10" s="153"/>
      <c r="N10" s="153"/>
      <c r="O10" s="153"/>
      <c r="P10" s="153"/>
      <c r="Q10" s="153"/>
      <c r="R10" s="153"/>
      <c r="S10" s="153">
        <v>226.52365412421747</v>
      </c>
      <c r="T10" s="153"/>
      <c r="U10" s="153">
        <v>28.344585870463867</v>
      </c>
      <c r="V10" s="153"/>
      <c r="W10" s="154"/>
      <c r="X10" s="154"/>
      <c r="Y10" s="154"/>
      <c r="Z10" s="153"/>
      <c r="AA10" s="155">
        <v>2350.7535726930028</v>
      </c>
      <c r="AB10" s="157">
        <v>227.08253955579482</v>
      </c>
      <c r="AC10" s="158"/>
      <c r="AD10" s="153"/>
      <c r="AE10" s="153">
        <v>103.52605130487083</v>
      </c>
      <c r="AF10" s="153">
        <v>97.775234898977814</v>
      </c>
      <c r="AG10" s="153">
        <v>25.781253351946191</v>
      </c>
      <c r="AH10" s="153"/>
      <c r="AI10" s="153"/>
      <c r="AJ10" s="153"/>
      <c r="AK10" s="152"/>
      <c r="AL10" s="152"/>
      <c r="AM10" s="154"/>
      <c r="AN10" s="159">
        <v>90.000579195481436</v>
      </c>
      <c r="AO10" s="155"/>
      <c r="AP10" s="157"/>
      <c r="AQ10" s="160">
        <v>3536.8871863780278</v>
      </c>
    </row>
    <row r="11" spans="1:43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3.9985033895575035</v>
      </c>
      <c r="I11" s="105">
        <v>3.9985033895575035</v>
      </c>
      <c r="J11" s="106"/>
      <c r="K11" s="107"/>
      <c r="L11" s="104">
        <v>0.59343232181009264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0.59343232181009264</v>
      </c>
      <c r="U11" s="107">
        <v>0</v>
      </c>
      <c r="V11" s="107"/>
      <c r="W11" s="103"/>
      <c r="X11" s="103"/>
      <c r="Y11" s="103"/>
      <c r="Z11" s="107"/>
      <c r="AA11" s="104">
        <v>244.28025592981737</v>
      </c>
      <c r="AB11" s="108">
        <v>15.662991570464857</v>
      </c>
      <c r="AC11" s="109"/>
      <c r="AD11" s="107"/>
      <c r="AE11" s="107">
        <v>5.0707733554285719</v>
      </c>
      <c r="AF11" s="107"/>
      <c r="AG11" s="107"/>
      <c r="AH11" s="107">
        <v>10.592218215036286</v>
      </c>
      <c r="AI11" s="107"/>
      <c r="AJ11" s="107"/>
      <c r="AK11" s="105"/>
      <c r="AL11" s="105"/>
      <c r="AM11" s="103"/>
      <c r="AN11" s="110"/>
      <c r="AO11" s="110"/>
      <c r="AP11" s="108"/>
      <c r="AQ11" s="111">
        <v>264.53518321164984</v>
      </c>
    </row>
    <row r="12" spans="1:43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34.644669999999998</v>
      </c>
      <c r="AP12" s="108"/>
      <c r="AQ12" s="111">
        <v>34.644669999999998</v>
      </c>
    </row>
    <row r="13" spans="1:43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34.00079558947369</v>
      </c>
      <c r="I13" s="105">
        <v>34.00079558947369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34.00079558947369</v>
      </c>
    </row>
    <row r="14" spans="1:43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3104.6740617226319</v>
      </c>
      <c r="M14" s="166">
        <v>3050.0228853793992</v>
      </c>
      <c r="N14" s="166">
        <v>54.651176343232891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17.160291791677146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7.2419739999999999</v>
      </c>
      <c r="AP14" s="170"/>
      <c r="AQ14" s="173">
        <v>3129.076327514309</v>
      </c>
    </row>
    <row r="15" spans="1:43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32.300755810000005</v>
      </c>
      <c r="I15" s="177">
        <v>0</v>
      </c>
      <c r="J15" s="181">
        <v>0</v>
      </c>
      <c r="K15" s="178">
        <v>32.300755810000005</v>
      </c>
      <c r="L15" s="180">
        <v>3153.1811046907687</v>
      </c>
      <c r="M15" s="178">
        <v>0</v>
      </c>
      <c r="N15" s="178">
        <v>0</v>
      </c>
      <c r="O15" s="178">
        <v>117.64416658350582</v>
      </c>
      <c r="P15" s="178">
        <v>569.2635735888889</v>
      </c>
      <c r="Q15" s="178">
        <v>295.01708236000007</v>
      </c>
      <c r="R15" s="178">
        <v>0</v>
      </c>
      <c r="S15" s="178">
        <v>846.99436135367239</v>
      </c>
      <c r="T15" s="178">
        <v>42.207580812793744</v>
      </c>
      <c r="U15" s="178">
        <v>1155.4500409338968</v>
      </c>
      <c r="V15" s="178">
        <v>0</v>
      </c>
      <c r="W15" s="179">
        <v>126.60429905801104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1875.1181395923991</v>
      </c>
      <c r="AP15" s="182">
        <v>0</v>
      </c>
      <c r="AQ15" s="185">
        <v>5060.6000000931672</v>
      </c>
    </row>
    <row r="16" spans="1:43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1675.1753298430158</v>
      </c>
      <c r="AP16" s="157"/>
      <c r="AQ16" s="186">
        <v>1675.1753298430158</v>
      </c>
    </row>
    <row r="17" spans="1:43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178.7030917077833</v>
      </c>
      <c r="AP17" s="108"/>
      <c r="AQ17" s="111">
        <v>178.7030917077833</v>
      </c>
    </row>
    <row r="18" spans="1:43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21.2397180416</v>
      </c>
      <c r="AP18" s="108"/>
      <c r="AQ18" s="111">
        <v>21.2397180416</v>
      </c>
    </row>
    <row r="19" spans="1:43">
      <c r="A19" s="98" t="s">
        <v>430</v>
      </c>
      <c r="B19" s="99"/>
      <c r="C19" s="100"/>
      <c r="D19" s="404"/>
      <c r="E19" s="107"/>
      <c r="F19" s="103"/>
      <c r="G19" s="103"/>
      <c r="H19" s="104">
        <v>32.300755810000005</v>
      </c>
      <c r="I19" s="105"/>
      <c r="J19" s="107"/>
      <c r="K19" s="107">
        <v>32.300755810000005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32.300755810000005</v>
      </c>
    </row>
    <row r="20" spans="1:43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3153.1811046907687</v>
      </c>
      <c r="M20" s="166"/>
      <c r="N20" s="166"/>
      <c r="O20" s="166">
        <v>117.64416658350582</v>
      </c>
      <c r="P20" s="166">
        <v>569.2635735888889</v>
      </c>
      <c r="Q20" s="166">
        <v>295.01708236000007</v>
      </c>
      <c r="R20" s="166">
        <v>0</v>
      </c>
      <c r="S20" s="166">
        <v>846.99436135367239</v>
      </c>
      <c r="T20" s="166">
        <v>42.207580812793744</v>
      </c>
      <c r="U20" s="166">
        <v>1155.4500409338968</v>
      </c>
      <c r="V20" s="166"/>
      <c r="W20" s="167">
        <v>126.60429905801104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3153.1811046907687</v>
      </c>
    </row>
    <row r="21" spans="1:43">
      <c r="A21" s="188" t="s">
        <v>102</v>
      </c>
      <c r="B21" s="189"/>
      <c r="C21" s="190">
        <v>21.887468243173657</v>
      </c>
      <c r="D21" s="191">
        <v>-17.370743940900002</v>
      </c>
      <c r="E21" s="192">
        <v>39.435700284073661</v>
      </c>
      <c r="F21" s="193">
        <v>0</v>
      </c>
      <c r="G21" s="193">
        <v>-0.17748809999999998</v>
      </c>
      <c r="H21" s="194">
        <v>0</v>
      </c>
      <c r="I21" s="191">
        <v>0</v>
      </c>
      <c r="J21" s="192">
        <v>0</v>
      </c>
      <c r="K21" s="192">
        <v>0</v>
      </c>
      <c r="L21" s="194">
        <v>-48.292590286952951</v>
      </c>
      <c r="M21" s="192">
        <v>0</v>
      </c>
      <c r="N21" s="192">
        <v>56.506861031538307</v>
      </c>
      <c r="O21" s="192">
        <v>0</v>
      </c>
      <c r="P21" s="192">
        <v>-16.245509999999999</v>
      </c>
      <c r="Q21" s="192">
        <v>237.77443962272</v>
      </c>
      <c r="R21" s="192">
        <v>-242.67913272024001</v>
      </c>
      <c r="S21" s="192">
        <v>0.63729985508474574</v>
      </c>
      <c r="T21" s="192">
        <v>0</v>
      </c>
      <c r="U21" s="192">
        <v>-51.698979732882364</v>
      </c>
      <c r="V21" s="192">
        <v>-22.064956343173662</v>
      </c>
      <c r="W21" s="193">
        <v>-10.522612000000001</v>
      </c>
      <c r="X21" s="193">
        <v>0</v>
      </c>
      <c r="Y21" s="193">
        <v>0</v>
      </c>
      <c r="Z21" s="192">
        <v>0</v>
      </c>
      <c r="AA21" s="194">
        <v>0</v>
      </c>
      <c r="AB21" s="195">
        <v>-1040.493676060021</v>
      </c>
      <c r="AC21" s="196">
        <v>-60.297021708399988</v>
      </c>
      <c r="AD21" s="192">
        <v>-963.91688988232602</v>
      </c>
      <c r="AE21" s="192">
        <v>0</v>
      </c>
      <c r="AF21" s="192">
        <v>0</v>
      </c>
      <c r="AG21" s="197">
        <v>0</v>
      </c>
      <c r="AH21" s="197">
        <v>-3.5017313631840001</v>
      </c>
      <c r="AI21" s="197">
        <v>0</v>
      </c>
      <c r="AJ21" s="197">
        <v>0</v>
      </c>
      <c r="AK21" s="191">
        <v>-12.778033106111009</v>
      </c>
      <c r="AL21" s="197">
        <v>0</v>
      </c>
      <c r="AM21" s="193">
        <v>0</v>
      </c>
      <c r="AN21" s="198">
        <v>0</v>
      </c>
      <c r="AO21" s="194">
        <v>1036.991944696837</v>
      </c>
      <c r="AP21" s="195">
        <v>0</v>
      </c>
      <c r="AQ21" s="199">
        <v>-29.906853406963293</v>
      </c>
    </row>
    <row r="22" spans="1:43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-1036.991944696837</v>
      </c>
      <c r="AC22" s="158">
        <v>-60.297021708399988</v>
      </c>
      <c r="AD22" s="153">
        <v>-963.91688988232602</v>
      </c>
      <c r="AE22" s="153"/>
      <c r="AF22" s="153"/>
      <c r="AG22" s="161"/>
      <c r="AH22" s="161"/>
      <c r="AI22" s="161"/>
      <c r="AJ22" s="161"/>
      <c r="AK22" s="152">
        <v>-12.778033106111009</v>
      </c>
      <c r="AL22" s="161"/>
      <c r="AM22" s="154"/>
      <c r="AN22" s="159"/>
      <c r="AO22" s="155">
        <v>1036.991944696837</v>
      </c>
      <c r="AP22" s="157"/>
      <c r="AQ22" s="186">
        <v>0</v>
      </c>
    </row>
    <row r="23" spans="1:43">
      <c r="A23" s="204" t="s">
        <v>433</v>
      </c>
      <c r="B23" s="175"/>
      <c r="C23" s="205"/>
      <c r="D23" s="206"/>
      <c r="E23" s="178"/>
      <c r="F23" s="207"/>
      <c r="G23" s="207"/>
      <c r="H23" s="180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5" thickBot="1">
      <c r="A24" s="113" t="s">
        <v>434</v>
      </c>
      <c r="B24" s="114"/>
      <c r="C24" s="214">
        <v>21.887468243173657</v>
      </c>
      <c r="D24" s="215">
        <v>-17.370743940900002</v>
      </c>
      <c r="E24" s="122">
        <v>39.435700284073661</v>
      </c>
      <c r="F24" s="116"/>
      <c r="G24" s="116">
        <v>-0.17748809999999998</v>
      </c>
      <c r="H24" s="117"/>
      <c r="I24" s="216"/>
      <c r="J24" s="122"/>
      <c r="K24" s="122"/>
      <c r="L24" s="117">
        <v>-48.292590286952951</v>
      </c>
      <c r="M24" s="122"/>
      <c r="N24" s="122">
        <v>56.506861031538307</v>
      </c>
      <c r="O24" s="122"/>
      <c r="P24" s="122">
        <v>-16.245509999999999</v>
      </c>
      <c r="Q24" s="122">
        <v>237.77443962272</v>
      </c>
      <c r="R24" s="122">
        <v>-242.67913272024001</v>
      </c>
      <c r="S24" s="122">
        <v>0.63729985508474574</v>
      </c>
      <c r="T24" s="122"/>
      <c r="U24" s="122">
        <v>-51.698979732882364</v>
      </c>
      <c r="V24" s="116">
        <v>-22.064956343173662</v>
      </c>
      <c r="W24" s="116">
        <v>-10.522612000000001</v>
      </c>
      <c r="X24" s="116"/>
      <c r="Y24" s="116"/>
      <c r="Z24" s="122"/>
      <c r="AA24" s="117"/>
      <c r="AB24" s="117">
        <v>-3.5017313631840001</v>
      </c>
      <c r="AC24" s="121"/>
      <c r="AD24" s="122"/>
      <c r="AE24" s="122"/>
      <c r="AF24" s="122"/>
      <c r="AG24" s="122"/>
      <c r="AH24" s="122">
        <v>-3.5017313631840001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-29.906853406963293</v>
      </c>
    </row>
    <row r="25" spans="1:43" ht="15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9.0931577992979484</v>
      </c>
      <c r="I25" s="207">
        <v>9.0931577992979484</v>
      </c>
      <c r="J25" s="217"/>
      <c r="K25" s="209"/>
      <c r="L25" s="180">
        <v>118.50642557499698</v>
      </c>
      <c r="M25" s="209"/>
      <c r="N25" s="209"/>
      <c r="O25" s="209">
        <v>118.41162530152531</v>
      </c>
      <c r="P25" s="209"/>
      <c r="Q25" s="209"/>
      <c r="R25" s="209"/>
      <c r="S25" s="209">
        <v>0</v>
      </c>
      <c r="T25" s="209">
        <v>1.8276471195184864E-3</v>
      </c>
      <c r="U25" s="209">
        <v>9.2972626352166646E-2</v>
      </c>
      <c r="V25" s="209"/>
      <c r="W25" s="207"/>
      <c r="X25" s="207"/>
      <c r="Y25" s="207"/>
      <c r="Z25" s="209"/>
      <c r="AA25" s="180">
        <v>54.067608253983295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282.38127242467493</v>
      </c>
      <c r="AP25" s="182"/>
      <c r="AQ25" s="213">
        <v>464.04846405295314</v>
      </c>
    </row>
    <row r="26" spans="1:43" ht="15" thickBot="1">
      <c r="A26" s="218" t="s">
        <v>104</v>
      </c>
      <c r="B26" s="219"/>
      <c r="C26" s="220">
        <v>184.6033449863653</v>
      </c>
      <c r="D26" s="221">
        <v>95.468992139900664</v>
      </c>
      <c r="E26" s="222">
        <v>82.759941475699208</v>
      </c>
      <c r="F26" s="222">
        <v>0</v>
      </c>
      <c r="G26" s="222">
        <v>6.374411370765479</v>
      </c>
      <c r="H26" s="223">
        <v>158.28085380281954</v>
      </c>
      <c r="I26" s="221">
        <v>-2.8992991375604404</v>
      </c>
      <c r="J26" s="224">
        <v>127.70399999999999</v>
      </c>
      <c r="K26" s="222">
        <v>33.476152940380004</v>
      </c>
      <c r="L26" s="223">
        <v>6766.7160095019644</v>
      </c>
      <c r="M26" s="222">
        <v>0</v>
      </c>
      <c r="N26" s="222">
        <v>2.1661421905413647E-2</v>
      </c>
      <c r="O26" s="222">
        <v>-0.7674587180194834</v>
      </c>
      <c r="P26" s="222">
        <v>692.0310399444445</v>
      </c>
      <c r="Q26" s="222">
        <v>788.88193223840017</v>
      </c>
      <c r="R26" s="222">
        <v>994.95035169695984</v>
      </c>
      <c r="S26" s="222">
        <v>15.852913116460524</v>
      </c>
      <c r="T26" s="222">
        <v>194.54011679305472</v>
      </c>
      <c r="U26" s="222">
        <v>3726.6957765861935</v>
      </c>
      <c r="V26" s="222">
        <v>124.71927703487282</v>
      </c>
      <c r="W26" s="222">
        <v>0.39675104834254604</v>
      </c>
      <c r="X26" s="222">
        <v>181.11962930397135</v>
      </c>
      <c r="Y26" s="222">
        <v>0.91672215077335029</v>
      </c>
      <c r="Z26" s="222">
        <v>47.357296884605574</v>
      </c>
      <c r="AA26" s="223">
        <v>1804.9084713192799</v>
      </c>
      <c r="AB26" s="225">
        <v>579.85551057655766</v>
      </c>
      <c r="AC26" s="147">
        <v>0</v>
      </c>
      <c r="AD26" s="129">
        <v>0</v>
      </c>
      <c r="AE26" s="129">
        <v>164.18675332306591</v>
      </c>
      <c r="AF26" s="129">
        <v>53.91446384796545</v>
      </c>
      <c r="AG26" s="129">
        <v>0</v>
      </c>
      <c r="AH26" s="129">
        <v>13.440197495811201</v>
      </c>
      <c r="AI26" s="129">
        <v>210.50356992873603</v>
      </c>
      <c r="AJ26" s="129">
        <v>23.439680137823999</v>
      </c>
      <c r="AK26" s="132">
        <v>0</v>
      </c>
      <c r="AL26" s="132">
        <v>14.055233512887737</v>
      </c>
      <c r="AM26" s="226">
        <v>100.3156123302669</v>
      </c>
      <c r="AN26" s="223">
        <v>58.377269159703815</v>
      </c>
      <c r="AO26" s="223">
        <v>2609.5053958645608</v>
      </c>
      <c r="AP26" s="225">
        <v>0</v>
      </c>
      <c r="AQ26" s="227">
        <v>12162.246855211251</v>
      </c>
    </row>
    <row r="27" spans="1:43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229.39364833935028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181.11962930397135</v>
      </c>
      <c r="Y27" s="146">
        <v>0.91672215077335029</v>
      </c>
      <c r="Z27" s="129">
        <v>47.357296884605574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229.39364833935028</v>
      </c>
    </row>
    <row r="28" spans="1:43" ht="15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229.39364833935028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181.11962930397135</v>
      </c>
      <c r="Y28" s="193">
        <v>0.91672215077335029</v>
      </c>
      <c r="Z28" s="192">
        <v>47.357296884605574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229.39364833935028</v>
      </c>
    </row>
    <row r="29" spans="1:43" ht="15" thickBot="1">
      <c r="A29" s="125" t="s">
        <v>107</v>
      </c>
      <c r="B29" s="126"/>
      <c r="C29" s="127">
        <v>195.14409898402315</v>
      </c>
      <c r="D29" s="132">
        <v>98.035649600345891</v>
      </c>
      <c r="E29" s="129">
        <v>89.149444970825527</v>
      </c>
      <c r="F29" s="146">
        <v>0</v>
      </c>
      <c r="G29" s="146">
        <v>7.9636594128517197</v>
      </c>
      <c r="H29" s="130">
        <v>157.05598153792408</v>
      </c>
      <c r="I29" s="132">
        <v>0</v>
      </c>
      <c r="J29" s="233">
        <v>127.70399999999999</v>
      </c>
      <c r="K29" s="132">
        <v>29.351981537924082</v>
      </c>
      <c r="L29" s="130">
        <v>6624.2794607917776</v>
      </c>
      <c r="M29" s="129">
        <v>0</v>
      </c>
      <c r="N29" s="129">
        <v>0</v>
      </c>
      <c r="O29" s="129">
        <v>0</v>
      </c>
      <c r="P29" s="129">
        <v>697.83486315555547</v>
      </c>
      <c r="Q29" s="129">
        <v>788.15215795680035</v>
      </c>
      <c r="R29" s="129">
        <v>1017.7427971888799</v>
      </c>
      <c r="S29" s="129">
        <v>21.624541795301674</v>
      </c>
      <c r="T29" s="129">
        <v>183.03351734417762</v>
      </c>
      <c r="U29" s="129">
        <v>3790.7288564441787</v>
      </c>
      <c r="V29" s="129">
        <v>125.16272690688299</v>
      </c>
      <c r="W29" s="146">
        <v>0</v>
      </c>
      <c r="X29" s="146">
        <v>0</v>
      </c>
      <c r="Y29" s="146">
        <v>0</v>
      </c>
      <c r="Z29" s="132">
        <v>0</v>
      </c>
      <c r="AA29" s="223">
        <v>1807.2974615324329</v>
      </c>
      <c r="AB29" s="128">
        <v>580.64845557741489</v>
      </c>
      <c r="AC29" s="147">
        <v>0</v>
      </c>
      <c r="AD29" s="129">
        <v>0</v>
      </c>
      <c r="AE29" s="129">
        <v>175.18231438766759</v>
      </c>
      <c r="AF29" s="129">
        <v>53.91446384796545</v>
      </c>
      <c r="AG29" s="129">
        <v>0</v>
      </c>
      <c r="AH29" s="129">
        <v>13.440197495811201</v>
      </c>
      <c r="AI29" s="129">
        <v>200.45962057046404</v>
      </c>
      <c r="AJ29" s="129">
        <v>23.281013432351994</v>
      </c>
      <c r="AK29" s="128">
        <v>0</v>
      </c>
      <c r="AL29" s="128">
        <v>14.055233512887737</v>
      </c>
      <c r="AM29" s="128">
        <v>100.3156123302669</v>
      </c>
      <c r="AN29" s="128">
        <v>58.377269159703822</v>
      </c>
      <c r="AO29" s="130">
        <v>2646.0426081714591</v>
      </c>
      <c r="AP29" s="128">
        <v>0</v>
      </c>
      <c r="AQ29" s="227">
        <v>12068.845335754733</v>
      </c>
    </row>
    <row r="30" spans="1:43">
      <c r="A30" s="234" t="s">
        <v>108</v>
      </c>
      <c r="B30" s="235"/>
      <c r="C30" s="236">
        <v>70.828371967119992</v>
      </c>
      <c r="D30" s="237">
        <v>70.828371967119992</v>
      </c>
      <c r="E30" s="237">
        <v>4.6549999999999994E-3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322.5546606637098</v>
      </c>
      <c r="M30" s="237">
        <v>0</v>
      </c>
      <c r="N30" s="237">
        <v>0</v>
      </c>
      <c r="O30" s="237">
        <v>0</v>
      </c>
      <c r="P30" s="237">
        <v>0</v>
      </c>
      <c r="Q30" s="406">
        <v>4.1939034139211575</v>
      </c>
      <c r="R30" s="237">
        <v>0</v>
      </c>
      <c r="S30" s="406">
        <v>21.415238672343808</v>
      </c>
      <c r="T30" s="406">
        <v>72.224590347078561</v>
      </c>
      <c r="U30" s="406">
        <v>106.00706189123937</v>
      </c>
      <c r="V30" s="237">
        <v>118.71386633912684</v>
      </c>
      <c r="W30" s="237">
        <v>0</v>
      </c>
      <c r="X30" s="237">
        <v>0</v>
      </c>
      <c r="Y30" s="237">
        <v>0</v>
      </c>
      <c r="Z30" s="237">
        <v>0</v>
      </c>
      <c r="AA30" s="407">
        <v>909.28097220562074</v>
      </c>
      <c r="AB30" s="241">
        <v>191.64357549813201</v>
      </c>
      <c r="AC30" s="242">
        <v>0</v>
      </c>
      <c r="AD30" s="237">
        <v>0</v>
      </c>
      <c r="AE30" s="237">
        <v>131.06874793807455</v>
      </c>
      <c r="AF30" s="237">
        <v>53.91446384796545</v>
      </c>
      <c r="AG30" s="237">
        <v>0</v>
      </c>
      <c r="AH30" s="237">
        <v>6.6603637120920176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58.377269159703822</v>
      </c>
      <c r="AO30" s="407">
        <v>590.06601912872009</v>
      </c>
      <c r="AP30" s="241">
        <v>0</v>
      </c>
      <c r="AQ30" s="148">
        <v>2142.7508686230067</v>
      </c>
    </row>
    <row r="31" spans="1:43" ht="16.899999999999999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11.772307314783836</v>
      </c>
      <c r="M31" s="161"/>
      <c r="N31" s="161"/>
      <c r="O31" s="161"/>
      <c r="P31" s="252"/>
      <c r="Q31" s="408">
        <v>0.13788731916247721</v>
      </c>
      <c r="R31" s="247"/>
      <c r="S31" s="408">
        <v>0</v>
      </c>
      <c r="T31" s="408">
        <v>0.9490949643806591</v>
      </c>
      <c r="U31" s="408">
        <v>10.6853250312407</v>
      </c>
      <c r="V31" s="203">
        <v>0</v>
      </c>
      <c r="W31" s="247"/>
      <c r="X31" s="250"/>
      <c r="Y31" s="252"/>
      <c r="Z31" s="161"/>
      <c r="AA31" s="40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409">
        <v>23.61598322487626</v>
      </c>
      <c r="AP31" s="253"/>
      <c r="AQ31" s="160">
        <v>35.388290539660098</v>
      </c>
    </row>
    <row r="32" spans="1:43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70.63259683993391</v>
      </c>
      <c r="M32" s="107"/>
      <c r="N32" s="107"/>
      <c r="O32" s="107"/>
      <c r="P32" s="252"/>
      <c r="Q32" s="410">
        <v>0.89347794671177427</v>
      </c>
      <c r="R32" s="257"/>
      <c r="S32" s="410">
        <v>16.868934619017807</v>
      </c>
      <c r="T32" s="410">
        <v>41.935733570669129</v>
      </c>
      <c r="U32" s="410">
        <v>10.934450703535212</v>
      </c>
      <c r="V32" s="257">
        <v>0</v>
      </c>
      <c r="W32" s="257"/>
      <c r="X32" s="105"/>
      <c r="Y32" s="103"/>
      <c r="Z32" s="107"/>
      <c r="AA32" s="411">
        <v>302.65726987386068</v>
      </c>
      <c r="AB32" s="108">
        <v>7.0084159060920177</v>
      </c>
      <c r="AC32" s="109"/>
      <c r="AD32" s="107"/>
      <c r="AE32" s="107">
        <v>0.34805219399999998</v>
      </c>
      <c r="AF32" s="107"/>
      <c r="AG32" s="161"/>
      <c r="AH32" s="161">
        <v>6.6603637120920176</v>
      </c>
      <c r="AI32" s="161"/>
      <c r="AJ32" s="161"/>
      <c r="AK32" s="105"/>
      <c r="AL32" s="103"/>
      <c r="AM32" s="107"/>
      <c r="AN32" s="110"/>
      <c r="AO32" s="411">
        <v>103.37836058492158</v>
      </c>
      <c r="AP32" s="108"/>
      <c r="AQ32" s="111">
        <v>483.67664320480822</v>
      </c>
    </row>
    <row r="33" spans="1:43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5.9876597638201607</v>
      </c>
      <c r="M33" s="107"/>
      <c r="N33" s="107"/>
      <c r="O33" s="107"/>
      <c r="P33" s="252"/>
      <c r="Q33" s="410">
        <v>3.9054789820586036E-2</v>
      </c>
      <c r="R33" s="257"/>
      <c r="S33" s="410">
        <v>0</v>
      </c>
      <c r="T33" s="410">
        <v>5.6269079102105746</v>
      </c>
      <c r="U33" s="410">
        <v>0.32169706378900026</v>
      </c>
      <c r="V33" s="257">
        <v>0</v>
      </c>
      <c r="W33" s="257"/>
      <c r="X33" s="105"/>
      <c r="Y33" s="103"/>
      <c r="Z33" s="107"/>
      <c r="AA33" s="411">
        <v>1.4346269291617104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411">
        <v>3.6716014975258964</v>
      </c>
      <c r="AP33" s="108"/>
      <c r="AQ33" s="111">
        <v>11.093888190507768</v>
      </c>
    </row>
    <row r="34" spans="1:43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2.4755714957072654</v>
      </c>
      <c r="M34" s="107"/>
      <c r="N34" s="107"/>
      <c r="O34" s="107"/>
      <c r="P34" s="252"/>
      <c r="Q34" s="410">
        <v>7.4921433533369122E-2</v>
      </c>
      <c r="R34" s="257"/>
      <c r="S34" s="410">
        <v>0</v>
      </c>
      <c r="T34" s="410">
        <v>0.64918827043378413</v>
      </c>
      <c r="U34" s="410">
        <v>1.7514617917401123</v>
      </c>
      <c r="V34" s="257">
        <v>0</v>
      </c>
      <c r="W34" s="257"/>
      <c r="X34" s="105"/>
      <c r="Y34" s="103"/>
      <c r="Z34" s="107"/>
      <c r="AA34" s="411">
        <v>5.3039231585319166</v>
      </c>
      <c r="AB34" s="108">
        <v>128.9842877833708</v>
      </c>
      <c r="AC34" s="109"/>
      <c r="AD34" s="107"/>
      <c r="AE34" s="107">
        <v>128.9842877833708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411">
        <v>28.63805883643467</v>
      </c>
      <c r="AP34" s="108"/>
      <c r="AQ34" s="111">
        <v>165.40184127404467</v>
      </c>
    </row>
    <row r="35" spans="1:43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1.0028483930976644</v>
      </c>
      <c r="M35" s="107"/>
      <c r="N35" s="107"/>
      <c r="O35" s="107"/>
      <c r="P35" s="252"/>
      <c r="Q35" s="410">
        <v>2.0722949700719119E-2</v>
      </c>
      <c r="R35" s="257"/>
      <c r="S35" s="410">
        <v>0</v>
      </c>
      <c r="T35" s="410">
        <v>0.37122596872692454</v>
      </c>
      <c r="U35" s="410">
        <v>0.6108994746700207</v>
      </c>
      <c r="V35" s="257">
        <v>0</v>
      </c>
      <c r="W35" s="257"/>
      <c r="X35" s="105"/>
      <c r="Y35" s="103"/>
      <c r="Z35" s="107"/>
      <c r="AA35" s="411">
        <v>6.7421064261397392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411">
        <v>7.7295165036332083</v>
      </c>
      <c r="AP35" s="108"/>
      <c r="AQ35" s="111">
        <v>15.474471322870611</v>
      </c>
    </row>
    <row r="36" spans="1:43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7.697472319737483</v>
      </c>
      <c r="M36" s="107"/>
      <c r="N36" s="107"/>
      <c r="O36" s="107"/>
      <c r="P36" s="252"/>
      <c r="Q36" s="412">
        <v>0.11716436946175808</v>
      </c>
      <c r="R36" s="257"/>
      <c r="S36" s="412">
        <v>0</v>
      </c>
      <c r="T36" s="412">
        <v>2.0774024653881096</v>
      </c>
      <c r="U36" s="412">
        <v>4.6640658473920382</v>
      </c>
      <c r="V36" s="247">
        <v>0.83883963749557711</v>
      </c>
      <c r="W36" s="257"/>
      <c r="X36" s="105"/>
      <c r="Y36" s="103"/>
      <c r="Z36" s="107"/>
      <c r="AA36" s="413">
        <v>126.18528947726819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413">
        <v>85.480250131317604</v>
      </c>
      <c r="AP36" s="108"/>
      <c r="AQ36" s="111">
        <v>219.36301192832326</v>
      </c>
    </row>
    <row r="37" spans="1:43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2.9974630433195779</v>
      </c>
      <c r="M37" s="107"/>
      <c r="N37" s="107"/>
      <c r="O37" s="107"/>
      <c r="P37" s="252"/>
      <c r="Q37" s="410">
        <v>0.22317022754620594</v>
      </c>
      <c r="R37" s="257"/>
      <c r="S37" s="410">
        <v>0</v>
      </c>
      <c r="T37" s="410">
        <v>2.2511289039548967</v>
      </c>
      <c r="U37" s="410">
        <v>0.52316391181847521</v>
      </c>
      <c r="V37" s="257">
        <v>0</v>
      </c>
      <c r="W37" s="257"/>
      <c r="X37" s="105"/>
      <c r="Y37" s="103"/>
      <c r="Z37" s="107"/>
      <c r="AA37" s="411">
        <v>6.6183458482150312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411">
        <v>21.379260473509909</v>
      </c>
      <c r="AP37" s="108"/>
      <c r="AQ37" s="111">
        <v>30.995069365044518</v>
      </c>
    </row>
    <row r="38" spans="1:43">
      <c r="A38" s="255" t="s">
        <v>123</v>
      </c>
      <c r="B38" s="259" t="s">
        <v>124</v>
      </c>
      <c r="C38" s="100">
        <v>70.828371967119992</v>
      </c>
      <c r="D38" s="109">
        <v>70.828371967119992</v>
      </c>
      <c r="E38" s="257"/>
      <c r="F38" s="257"/>
      <c r="G38" s="258"/>
      <c r="H38" s="104">
        <v>0</v>
      </c>
      <c r="I38" s="105"/>
      <c r="J38" s="106"/>
      <c r="K38" s="107"/>
      <c r="L38" s="104">
        <v>149.93227242251578</v>
      </c>
      <c r="M38" s="107"/>
      <c r="N38" s="107"/>
      <c r="O38" s="107"/>
      <c r="P38" s="252"/>
      <c r="Q38" s="410">
        <v>1.1477325988090588</v>
      </c>
      <c r="R38" s="257"/>
      <c r="S38" s="410">
        <v>0</v>
      </c>
      <c r="T38" s="410">
        <v>2.5254338069550872</v>
      </c>
      <c r="U38" s="410">
        <v>28.384079315120374</v>
      </c>
      <c r="V38" s="257">
        <v>117.87502670163124</v>
      </c>
      <c r="W38" s="257"/>
      <c r="X38" s="105"/>
      <c r="Y38" s="103"/>
      <c r="Z38" s="107"/>
      <c r="AA38" s="411">
        <v>23.426312612231087</v>
      </c>
      <c r="AB38" s="108">
        <v>55.650871808669208</v>
      </c>
      <c r="AC38" s="109"/>
      <c r="AD38" s="107"/>
      <c r="AE38" s="107">
        <v>1.7364079607037597</v>
      </c>
      <c r="AF38" s="107">
        <v>53.91446384796545</v>
      </c>
      <c r="AG38" s="161"/>
      <c r="AH38" s="161"/>
      <c r="AI38" s="161"/>
      <c r="AJ38" s="161"/>
      <c r="AK38" s="105"/>
      <c r="AL38" s="103"/>
      <c r="AM38" s="107"/>
      <c r="AN38" s="110">
        <v>58.377269159703822</v>
      </c>
      <c r="AO38" s="411">
        <v>66.996717806165861</v>
      </c>
      <c r="AP38" s="108"/>
      <c r="AQ38" s="111">
        <v>425.21181577640573</v>
      </c>
    </row>
    <row r="39" spans="1:43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5.2266928969088564</v>
      </c>
      <c r="M39" s="107"/>
      <c r="N39" s="107"/>
      <c r="O39" s="107"/>
      <c r="P39" s="252"/>
      <c r="Q39" s="410">
        <v>0.20882357006109267</v>
      </c>
      <c r="R39" s="257"/>
      <c r="S39" s="410">
        <v>1.8817161973259999</v>
      </c>
      <c r="T39" s="410">
        <v>1.300205240220903</v>
      </c>
      <c r="U39" s="410">
        <v>1.8359478893008603</v>
      </c>
      <c r="V39" s="257">
        <v>0</v>
      </c>
      <c r="W39" s="257"/>
      <c r="X39" s="105"/>
      <c r="Y39" s="103"/>
      <c r="Z39" s="107"/>
      <c r="AA39" s="411">
        <v>360.86577756446815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411">
        <v>60.944472838390347</v>
      </c>
      <c r="AP39" s="108"/>
      <c r="AQ39" s="111">
        <v>427.03694329976736</v>
      </c>
    </row>
    <row r="40" spans="1:43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2.8768908398588411</v>
      </c>
      <c r="M40" s="107"/>
      <c r="N40" s="107"/>
      <c r="O40" s="107"/>
      <c r="P40" s="252"/>
      <c r="Q40" s="410">
        <v>5.4995520359600751E-2</v>
      </c>
      <c r="R40" s="257"/>
      <c r="S40" s="410">
        <v>0</v>
      </c>
      <c r="T40" s="410">
        <v>2.2749019955482468</v>
      </c>
      <c r="U40" s="410">
        <v>0.54699332395099376</v>
      </c>
      <c r="V40" s="257">
        <v>0</v>
      </c>
      <c r="W40" s="257"/>
      <c r="X40" s="105"/>
      <c r="Y40" s="103"/>
      <c r="Z40" s="107"/>
      <c r="AA40" s="411">
        <v>12.698973323377876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411">
        <v>17.355973008788045</v>
      </c>
      <c r="AP40" s="108"/>
      <c r="AQ40" s="111">
        <v>32.931837172024764</v>
      </c>
    </row>
    <row r="41" spans="1:43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3.0640378170707283</v>
      </c>
      <c r="M41" s="107"/>
      <c r="N41" s="107"/>
      <c r="O41" s="107"/>
      <c r="P41" s="252"/>
      <c r="Q41" s="412">
        <v>0.25664576167813674</v>
      </c>
      <c r="R41" s="257"/>
      <c r="S41" s="412">
        <v>0</v>
      </c>
      <c r="T41" s="412">
        <v>2.3827952573949887</v>
      </c>
      <c r="U41" s="412">
        <v>0.42459679799760308</v>
      </c>
      <c r="V41" s="247">
        <v>0</v>
      </c>
      <c r="W41" s="257"/>
      <c r="X41" s="105"/>
      <c r="Y41" s="103"/>
      <c r="Z41" s="107"/>
      <c r="AA41" s="413">
        <v>18.029924654100249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413">
        <v>105.00910136204257</v>
      </c>
      <c r="AP41" s="108"/>
      <c r="AQ41" s="111">
        <v>126.10306383321355</v>
      </c>
    </row>
    <row r="42" spans="1:43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1.292036233865413</v>
      </c>
      <c r="M42" s="107"/>
      <c r="N42" s="107"/>
      <c r="O42" s="107"/>
      <c r="P42" s="252"/>
      <c r="Q42" s="410">
        <v>1.1158511377310294E-2</v>
      </c>
      <c r="R42" s="257"/>
      <c r="S42" s="410">
        <v>0</v>
      </c>
      <c r="T42" s="410">
        <v>1.088076115234089</v>
      </c>
      <c r="U42" s="410">
        <v>0.19280160725401366</v>
      </c>
      <c r="V42" s="257">
        <v>0</v>
      </c>
      <c r="W42" s="257"/>
      <c r="X42" s="105"/>
      <c r="Y42" s="103"/>
      <c r="Z42" s="107"/>
      <c r="AA42" s="411">
        <v>1.1558099949865046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411">
        <v>2.6003119359135654</v>
      </c>
      <c r="AP42" s="108"/>
      <c r="AQ42" s="111">
        <v>5.048158164765483</v>
      </c>
    </row>
    <row r="43" spans="1:43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12.425164931323797</v>
      </c>
      <c r="M43" s="107"/>
      <c r="N43" s="107"/>
      <c r="O43" s="107"/>
      <c r="P43" s="103"/>
      <c r="Q43" s="410">
        <v>0.13788731916247721</v>
      </c>
      <c r="R43" s="257"/>
      <c r="S43" s="410">
        <v>2.6645878559999998</v>
      </c>
      <c r="T43" s="410">
        <v>8.0791937430322776</v>
      </c>
      <c r="U43" s="410">
        <v>1.5434960131290418</v>
      </c>
      <c r="V43" s="257">
        <v>0</v>
      </c>
      <c r="W43" s="257"/>
      <c r="X43" s="105"/>
      <c r="Y43" s="103"/>
      <c r="Z43" s="107"/>
      <c r="AA43" s="411">
        <v>40.457617430662992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411">
        <v>53.082938833225114</v>
      </c>
      <c r="AP43" s="108"/>
      <c r="AQ43" s="111">
        <v>105.9657211952119</v>
      </c>
    </row>
    <row r="44" spans="1:43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45.17164635176642</v>
      </c>
      <c r="M44" s="166"/>
      <c r="N44" s="166"/>
      <c r="O44" s="166"/>
      <c r="P44" s="167"/>
      <c r="Q44" s="263">
        <v>0.87026109653659156</v>
      </c>
      <c r="R44" s="263"/>
      <c r="S44" s="263">
        <v>0</v>
      </c>
      <c r="T44" s="263">
        <v>0.71330213492888261</v>
      </c>
      <c r="U44" s="263">
        <v>43.588083120300944</v>
      </c>
      <c r="V44" s="263">
        <v>0</v>
      </c>
      <c r="W44" s="263"/>
      <c r="X44" s="165"/>
      <c r="Y44" s="167"/>
      <c r="Z44" s="166"/>
      <c r="AA44" s="172">
        <v>3.7049949126164958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10.183472091975393</v>
      </c>
      <c r="AP44" s="170"/>
      <c r="AQ44" s="173">
        <v>59.060113356358315</v>
      </c>
    </row>
    <row r="45" spans="1:43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4731.4901779588208</v>
      </c>
      <c r="M45" s="266">
        <v>0</v>
      </c>
      <c r="N45" s="266">
        <v>0</v>
      </c>
      <c r="O45" s="266">
        <v>0</v>
      </c>
      <c r="P45" s="266">
        <v>697.83486315555547</v>
      </c>
      <c r="Q45" s="266">
        <v>0</v>
      </c>
      <c r="R45" s="266">
        <v>1017.7427971888799</v>
      </c>
      <c r="S45" s="266">
        <v>0</v>
      </c>
      <c r="T45" s="266">
        <v>1.6215191122715407</v>
      </c>
      <c r="U45" s="266">
        <v>3014.2909985021133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16.580164546171702</v>
      </c>
      <c r="AB45" s="271">
        <v>223.74063400281602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200.45962057046404</v>
      </c>
      <c r="AJ45" s="266">
        <v>23.281013432351994</v>
      </c>
      <c r="AK45" s="269">
        <v>0</v>
      </c>
      <c r="AL45" s="267">
        <v>0</v>
      </c>
      <c r="AM45" s="266">
        <v>0</v>
      </c>
      <c r="AN45" s="268">
        <v>0</v>
      </c>
      <c r="AO45" s="268">
        <v>17.229941943939394</v>
      </c>
      <c r="AP45" s="271">
        <v>0</v>
      </c>
      <c r="AQ45" s="273">
        <v>4989.0409184517475</v>
      </c>
    </row>
    <row r="46" spans="1:43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742.32915431506217</v>
      </c>
      <c r="M46" s="153"/>
      <c r="N46" s="153"/>
      <c r="O46" s="153"/>
      <c r="P46" s="153"/>
      <c r="Q46" s="153"/>
      <c r="R46" s="153"/>
      <c r="S46" s="153"/>
      <c r="T46" s="153"/>
      <c r="U46" s="153">
        <v>742.32915431506217</v>
      </c>
      <c r="V46" s="153"/>
      <c r="W46" s="154"/>
      <c r="X46" s="154"/>
      <c r="Y46" s="154"/>
      <c r="Z46" s="153"/>
      <c r="AA46" s="159">
        <v>0.64998954927279995</v>
      </c>
      <c r="AB46" s="157">
        <v>51.716845684938008</v>
      </c>
      <c r="AC46" s="158"/>
      <c r="AD46" s="153"/>
      <c r="AE46" s="153"/>
      <c r="AF46" s="153"/>
      <c r="AG46" s="153"/>
      <c r="AH46" s="153"/>
      <c r="AI46" s="153">
        <v>51.716845684938008</v>
      </c>
      <c r="AJ46" s="153">
        <v>0</v>
      </c>
      <c r="AK46" s="152"/>
      <c r="AL46" s="154"/>
      <c r="AM46" s="153"/>
      <c r="AN46" s="155"/>
      <c r="AO46" s="159"/>
      <c r="AP46" s="157"/>
      <c r="AQ46" s="186">
        <v>794.69598954927301</v>
      </c>
    </row>
    <row r="47" spans="1:43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285.51440825609274</v>
      </c>
      <c r="M47" s="161"/>
      <c r="N47" s="161"/>
      <c r="O47" s="161"/>
      <c r="P47" s="161"/>
      <c r="Q47" s="161"/>
      <c r="R47" s="161"/>
      <c r="S47" s="161"/>
      <c r="T47" s="161"/>
      <c r="U47" s="161">
        <v>285.51440825609274</v>
      </c>
      <c r="V47" s="161"/>
      <c r="W47" s="252"/>
      <c r="X47" s="252"/>
      <c r="Y47" s="252"/>
      <c r="Z47" s="161"/>
      <c r="AA47" s="260"/>
      <c r="AB47" s="253">
        <v>19.891317088618258</v>
      </c>
      <c r="AC47" s="254"/>
      <c r="AD47" s="161"/>
      <c r="AE47" s="161"/>
      <c r="AF47" s="161"/>
      <c r="AG47" s="161"/>
      <c r="AH47" s="161"/>
      <c r="AI47" s="161">
        <v>19.891317088618258</v>
      </c>
      <c r="AJ47" s="161">
        <v>0</v>
      </c>
      <c r="AK47" s="250"/>
      <c r="AL47" s="252"/>
      <c r="AM47" s="161"/>
      <c r="AN47" s="249"/>
      <c r="AO47" s="260"/>
      <c r="AP47" s="253"/>
      <c r="AQ47" s="160">
        <v>305.40572534471102</v>
      </c>
    </row>
    <row r="48" spans="1:43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1680.1778539022794</v>
      </c>
      <c r="M48" s="107"/>
      <c r="N48" s="107"/>
      <c r="O48" s="107"/>
      <c r="P48" s="107">
        <v>551.24917802699099</v>
      </c>
      <c r="Q48" s="107"/>
      <c r="R48" s="107"/>
      <c r="S48" s="107"/>
      <c r="T48" s="107">
        <v>1.6215191122715407</v>
      </c>
      <c r="U48" s="107">
        <v>1127.3071567630168</v>
      </c>
      <c r="V48" s="107"/>
      <c r="W48" s="103"/>
      <c r="X48" s="103"/>
      <c r="Y48" s="103"/>
      <c r="Z48" s="107"/>
      <c r="AA48" s="110"/>
      <c r="AB48" s="108">
        <v>96.945094950612472</v>
      </c>
      <c r="AC48" s="109"/>
      <c r="AD48" s="107"/>
      <c r="AE48" s="107"/>
      <c r="AF48" s="107"/>
      <c r="AG48" s="107"/>
      <c r="AH48" s="107"/>
      <c r="AI48" s="107">
        <v>78.537627044478057</v>
      </c>
      <c r="AJ48" s="107">
        <v>18.407467906134411</v>
      </c>
      <c r="AK48" s="105"/>
      <c r="AL48" s="103"/>
      <c r="AM48" s="107"/>
      <c r="AN48" s="104"/>
      <c r="AO48" s="110">
        <v>13.031457977939393</v>
      </c>
      <c r="AP48" s="108"/>
      <c r="AQ48" s="111">
        <v>1790.1544068308312</v>
      </c>
    </row>
    <row r="49" spans="1:43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102.49043521948117</v>
      </c>
      <c r="M49" s="107"/>
      <c r="N49" s="107"/>
      <c r="O49" s="107"/>
      <c r="P49" s="107">
        <v>1.5152388279966702</v>
      </c>
      <c r="Q49" s="107"/>
      <c r="R49" s="107"/>
      <c r="S49" s="107"/>
      <c r="T49" s="107"/>
      <c r="U49" s="107">
        <v>100.9751963914845</v>
      </c>
      <c r="V49" s="107"/>
      <c r="W49" s="103"/>
      <c r="X49" s="103"/>
      <c r="Y49" s="103"/>
      <c r="Z49" s="107"/>
      <c r="AA49" s="110"/>
      <c r="AB49" s="108">
        <v>7.0853723806299085</v>
      </c>
      <c r="AC49" s="109"/>
      <c r="AD49" s="107"/>
      <c r="AE49" s="107"/>
      <c r="AF49" s="107"/>
      <c r="AG49" s="107"/>
      <c r="AH49" s="107"/>
      <c r="AI49" s="107">
        <v>7.0347750986596997</v>
      </c>
      <c r="AJ49" s="107">
        <v>5.0597281970208685E-2</v>
      </c>
      <c r="AK49" s="105"/>
      <c r="AL49" s="103"/>
      <c r="AM49" s="107"/>
      <c r="AN49" s="104"/>
      <c r="AO49" s="110"/>
      <c r="AP49" s="108"/>
      <c r="AQ49" s="111">
        <v>109.57580760011108</v>
      </c>
    </row>
    <row r="50" spans="1:43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38.349980405071847</v>
      </c>
      <c r="M50" s="107"/>
      <c r="N50" s="107"/>
      <c r="O50" s="107"/>
      <c r="P50" s="107"/>
      <c r="Q50" s="107"/>
      <c r="R50" s="279"/>
      <c r="S50" s="107"/>
      <c r="T50" s="107"/>
      <c r="U50" s="107">
        <v>38.349980405071847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4.1984839659999995</v>
      </c>
      <c r="AP50" s="108"/>
      <c r="AQ50" s="111">
        <v>42.548464371071844</v>
      </c>
    </row>
    <row r="51" spans="1:43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13.625651636053366</v>
      </c>
      <c r="M51" s="107"/>
      <c r="N51" s="107"/>
      <c r="O51" s="107"/>
      <c r="P51" s="107">
        <v>0.63742222222222222</v>
      </c>
      <c r="Q51" s="107"/>
      <c r="R51" s="107">
        <v>12.988229413831144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13.625651636053366</v>
      </c>
    </row>
    <row r="52" spans="1:43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1004.7545677750487</v>
      </c>
      <c r="M52" s="279"/>
      <c r="N52" s="279"/>
      <c r="O52" s="279"/>
      <c r="P52" s="161"/>
      <c r="Q52" s="279"/>
      <c r="R52" s="279">
        <v>1004.7545677750487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1004.7545677750487</v>
      </c>
    </row>
    <row r="53" spans="1:43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181.67106445023231</v>
      </c>
      <c r="M53" s="279"/>
      <c r="N53" s="279"/>
      <c r="O53" s="279"/>
      <c r="P53" s="279">
        <v>7.6320847289734957</v>
      </c>
      <c r="Q53" s="279"/>
      <c r="R53" s="279"/>
      <c r="S53" s="279"/>
      <c r="T53" s="279"/>
      <c r="U53" s="279">
        <v>174.03897972125881</v>
      </c>
      <c r="V53" s="279"/>
      <c r="W53" s="281"/>
      <c r="X53" s="281"/>
      <c r="Y53" s="281"/>
      <c r="Z53" s="279"/>
      <c r="AA53" s="260"/>
      <c r="AB53" s="285">
        <v>12.379860889447068</v>
      </c>
      <c r="AC53" s="286"/>
      <c r="AD53" s="279"/>
      <c r="AE53" s="279"/>
      <c r="AF53" s="279"/>
      <c r="AG53" s="279"/>
      <c r="AH53" s="279"/>
      <c r="AI53" s="107">
        <v>12.125008165297338</v>
      </c>
      <c r="AJ53" s="107">
        <v>0.25485272414973004</v>
      </c>
      <c r="AK53" s="279"/>
      <c r="AL53" s="279"/>
      <c r="AM53" s="279"/>
      <c r="AN53" s="260"/>
      <c r="AO53" s="110"/>
      <c r="AP53" s="285"/>
      <c r="AQ53" s="287">
        <v>194.05092533967937</v>
      </c>
    </row>
    <row r="54" spans="1:43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98.599628814877434</v>
      </c>
      <c r="M54" s="279"/>
      <c r="N54" s="279"/>
      <c r="O54" s="279"/>
      <c r="P54" s="279"/>
      <c r="Q54" s="279"/>
      <c r="R54" s="279"/>
      <c r="S54" s="279"/>
      <c r="T54" s="279"/>
      <c r="U54" s="279">
        <v>98.599628814877434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98.599628814877434</v>
      </c>
    </row>
    <row r="55" spans="1:43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583.97743318462119</v>
      </c>
      <c r="M55" s="166"/>
      <c r="N55" s="166"/>
      <c r="O55" s="166"/>
      <c r="P55" s="166">
        <v>136.8009393493721</v>
      </c>
      <c r="Q55" s="166"/>
      <c r="R55" s="166"/>
      <c r="S55" s="166">
        <v>0</v>
      </c>
      <c r="T55" s="166"/>
      <c r="U55" s="166">
        <v>447.17649383524906</v>
      </c>
      <c r="V55" s="166"/>
      <c r="W55" s="167"/>
      <c r="X55" s="167"/>
      <c r="Y55" s="167"/>
      <c r="Z55" s="166"/>
      <c r="AA55" s="172">
        <v>15.9301749968989</v>
      </c>
      <c r="AB55" s="170">
        <v>35.722143008570313</v>
      </c>
      <c r="AC55" s="171"/>
      <c r="AD55" s="166"/>
      <c r="AE55" s="166"/>
      <c r="AF55" s="166"/>
      <c r="AG55" s="166"/>
      <c r="AH55" s="166"/>
      <c r="AI55" s="166">
        <v>31.154047488472671</v>
      </c>
      <c r="AJ55" s="166">
        <v>4.5680955200976463</v>
      </c>
      <c r="AK55" s="165"/>
      <c r="AL55" s="167"/>
      <c r="AM55" s="166"/>
      <c r="AN55" s="168"/>
      <c r="AO55" s="172"/>
      <c r="AP55" s="170"/>
      <c r="AQ55" s="173">
        <v>635.62975119009047</v>
      </c>
    </row>
    <row r="56" spans="1:43">
      <c r="A56" s="290" t="s">
        <v>146</v>
      </c>
      <c r="B56" s="291"/>
      <c r="C56" s="292">
        <v>124.1187566409633</v>
      </c>
      <c r="D56" s="293">
        <v>27.010307257286037</v>
      </c>
      <c r="E56" s="102">
        <v>89.144789970825528</v>
      </c>
      <c r="F56" s="294"/>
      <c r="G56" s="294">
        <v>7.9636594128517197</v>
      </c>
      <c r="H56" s="295">
        <v>157.05598153792408</v>
      </c>
      <c r="I56" s="293"/>
      <c r="J56" s="296">
        <v>127.70399999999999</v>
      </c>
      <c r="K56" s="184">
        <v>29.351981537924082</v>
      </c>
      <c r="L56" s="295">
        <v>1087.5941164173253</v>
      </c>
      <c r="M56" s="184"/>
      <c r="N56" s="184"/>
      <c r="O56" s="184"/>
      <c r="P56" s="184">
        <v>0</v>
      </c>
      <c r="Q56" s="414">
        <v>745.1216263117758</v>
      </c>
      <c r="R56" s="184"/>
      <c r="S56" s="184">
        <v>0</v>
      </c>
      <c r="T56" s="414">
        <v>45.352999557976517</v>
      </c>
      <c r="U56" s="414">
        <v>290.67062997981679</v>
      </c>
      <c r="V56" s="184">
        <v>6.4488605677561628</v>
      </c>
      <c r="W56" s="294"/>
      <c r="X56" s="294"/>
      <c r="Y56" s="294"/>
      <c r="Z56" s="184"/>
      <c r="AA56" s="295">
        <v>539.7924043487252</v>
      </c>
      <c r="AB56" s="297">
        <v>114.29666992369162</v>
      </c>
      <c r="AC56" s="298"/>
      <c r="AD56" s="184"/>
      <c r="AE56" s="184">
        <v>23.218809162369563</v>
      </c>
      <c r="AF56" s="184"/>
      <c r="AG56" s="184"/>
      <c r="AH56" s="184"/>
      <c r="AI56" s="184"/>
      <c r="AJ56" s="184"/>
      <c r="AK56" s="293"/>
      <c r="AL56" s="294">
        <v>13.888738851230531</v>
      </c>
      <c r="AM56" s="184">
        <v>77.189121910091529</v>
      </c>
      <c r="AN56" s="295"/>
      <c r="AO56" s="295">
        <v>714.48078612738402</v>
      </c>
      <c r="AP56" s="297"/>
      <c r="AQ56" s="185">
        <v>2737.3387149960136</v>
      </c>
    </row>
    <row r="57" spans="1:43">
      <c r="A57" s="290" t="s">
        <v>171</v>
      </c>
      <c r="B57" s="291"/>
      <c r="C57" s="292">
        <v>0.19697037593984965</v>
      </c>
      <c r="D57" s="41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193.73823708236165</v>
      </c>
      <c r="M57" s="184">
        <v>0</v>
      </c>
      <c r="N57" s="184">
        <v>0</v>
      </c>
      <c r="O57" s="184">
        <v>0</v>
      </c>
      <c r="P57" s="184">
        <v>0</v>
      </c>
      <c r="Q57" s="414">
        <v>38.836628231103333</v>
      </c>
      <c r="R57" s="184">
        <v>0</v>
      </c>
      <c r="S57" s="414">
        <v>0.2093031229578676</v>
      </c>
      <c r="T57" s="414">
        <v>63.834408326851005</v>
      </c>
      <c r="U57" s="414">
        <v>90.857897401449463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415">
        <v>341.64392043191549</v>
      </c>
      <c r="AB57" s="297">
        <v>50.96757615277523</v>
      </c>
      <c r="AC57" s="298">
        <v>0</v>
      </c>
      <c r="AD57" s="184">
        <v>0</v>
      </c>
      <c r="AE57" s="184">
        <v>20.894757287223477</v>
      </c>
      <c r="AF57" s="184">
        <v>0</v>
      </c>
      <c r="AG57" s="184">
        <v>0</v>
      </c>
      <c r="AH57" s="184">
        <v>6.7798337837191829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23.126490420175365</v>
      </c>
      <c r="AN57" s="295">
        <v>0</v>
      </c>
      <c r="AO57" s="415">
        <v>1281.0362510988002</v>
      </c>
      <c r="AP57" s="297">
        <v>0</v>
      </c>
      <c r="AQ57" s="299">
        <v>1867.5829551417924</v>
      </c>
    </row>
    <row r="58" spans="1:43">
      <c r="A58" s="290" t="s">
        <v>172</v>
      </c>
      <c r="B58" s="291"/>
      <c r="C58" s="292">
        <v>0.19697037593984965</v>
      </c>
      <c r="D58" s="416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91.00804726097104</v>
      </c>
      <c r="M58" s="184">
        <v>0</v>
      </c>
      <c r="N58" s="294">
        <v>0</v>
      </c>
      <c r="O58" s="294">
        <v>0</v>
      </c>
      <c r="P58" s="297">
        <v>0</v>
      </c>
      <c r="Q58" s="417">
        <v>9.9832689810746853</v>
      </c>
      <c r="R58" s="297">
        <v>0</v>
      </c>
      <c r="S58" s="417">
        <v>0</v>
      </c>
      <c r="T58" s="417">
        <v>34.129016031283705</v>
      </c>
      <c r="U58" s="417">
        <v>46.895762248612648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415">
        <v>193.90650870351746</v>
      </c>
      <c r="AB58" s="297">
        <v>34.542684432628874</v>
      </c>
      <c r="AC58" s="298">
        <v>0</v>
      </c>
      <c r="AD58" s="184">
        <v>0</v>
      </c>
      <c r="AE58" s="184">
        <v>9.2118665963963053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23.126490420175365</v>
      </c>
      <c r="AN58" s="295">
        <v>0</v>
      </c>
      <c r="AO58" s="415">
        <v>1025.3843593820347</v>
      </c>
      <c r="AP58" s="297">
        <v>0</v>
      </c>
      <c r="AQ58" s="299">
        <v>1345.038570155092</v>
      </c>
    </row>
    <row r="59" spans="1:43">
      <c r="A59" s="98" t="s">
        <v>173</v>
      </c>
      <c r="B59" s="302" t="s">
        <v>174</v>
      </c>
      <c r="C59" s="151">
        <v>9.9984962406015031E-3</v>
      </c>
      <c r="D59" s="418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32.910919722032538</v>
      </c>
      <c r="M59" s="202"/>
      <c r="N59" s="304"/>
      <c r="O59" s="304"/>
      <c r="P59" s="157"/>
      <c r="Q59" s="410">
        <v>3.2701364558668726</v>
      </c>
      <c r="R59" s="157"/>
      <c r="S59" s="410">
        <v>0</v>
      </c>
      <c r="T59" s="410">
        <v>15.459824333090737</v>
      </c>
      <c r="U59" s="410">
        <v>14.180958933074931</v>
      </c>
      <c r="V59" s="257">
        <v>0</v>
      </c>
      <c r="W59" s="157"/>
      <c r="X59" s="157"/>
      <c r="Y59" s="304"/>
      <c r="Z59" s="275"/>
      <c r="AA59" s="411">
        <v>38.016546721251501</v>
      </c>
      <c r="AB59" s="157">
        <v>2.4245566521362845</v>
      </c>
      <c r="AC59" s="305"/>
      <c r="AD59" s="202"/>
      <c r="AE59" s="153">
        <v>2.4245566521362845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411">
        <v>201.7876689810312</v>
      </c>
      <c r="AP59" s="157"/>
      <c r="AQ59" s="186">
        <v>275.14969057269212</v>
      </c>
    </row>
    <row r="60" spans="1:43">
      <c r="A60" s="98" t="s">
        <v>175</v>
      </c>
      <c r="B60" s="302" t="s">
        <v>176</v>
      </c>
      <c r="C60" s="100">
        <v>0</v>
      </c>
      <c r="D60" s="418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22.538309651720738</v>
      </c>
      <c r="M60" s="112"/>
      <c r="N60" s="102"/>
      <c r="O60" s="102"/>
      <c r="P60" s="108"/>
      <c r="Q60" s="410">
        <v>1.2417499769851992</v>
      </c>
      <c r="R60" s="108"/>
      <c r="S60" s="410">
        <v>0</v>
      </c>
      <c r="T60" s="410">
        <v>2.9899234427020764</v>
      </c>
      <c r="U60" s="410">
        <v>18.306636232033462</v>
      </c>
      <c r="V60" s="257">
        <v>0</v>
      </c>
      <c r="W60" s="108"/>
      <c r="X60" s="108"/>
      <c r="Y60" s="102"/>
      <c r="Z60" s="101"/>
      <c r="AA60" s="411">
        <v>14.87047357857406</v>
      </c>
      <c r="AB60" s="108">
        <v>1.3811291662024537E-2</v>
      </c>
      <c r="AC60" s="308"/>
      <c r="AD60" s="112"/>
      <c r="AE60" s="107">
        <v>1.3811291662024537E-2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411">
        <v>48.126871972432717</v>
      </c>
      <c r="AP60" s="108"/>
      <c r="AQ60" s="111">
        <v>85.549466494389549</v>
      </c>
    </row>
    <row r="61" spans="1:43">
      <c r="A61" s="98" t="s">
        <v>177</v>
      </c>
      <c r="B61" s="302" t="s">
        <v>178</v>
      </c>
      <c r="C61" s="100">
        <v>0.17997293233082706</v>
      </c>
      <c r="D61" s="418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13.674879740347423</v>
      </c>
      <c r="M61" s="112"/>
      <c r="N61" s="102"/>
      <c r="O61" s="102"/>
      <c r="P61" s="108"/>
      <c r="Q61" s="410">
        <v>2.9611603351644362</v>
      </c>
      <c r="R61" s="108"/>
      <c r="S61" s="410">
        <v>0</v>
      </c>
      <c r="T61" s="410">
        <v>9.320880603946474</v>
      </c>
      <c r="U61" s="410">
        <v>1.3928388012365125</v>
      </c>
      <c r="V61" s="257">
        <v>0</v>
      </c>
      <c r="W61" s="108"/>
      <c r="X61" s="108"/>
      <c r="Y61" s="102"/>
      <c r="Z61" s="101"/>
      <c r="AA61" s="411">
        <v>30.725341639032017</v>
      </c>
      <c r="AB61" s="108">
        <v>3.0723605637368858</v>
      </c>
      <c r="AC61" s="308"/>
      <c r="AD61" s="112"/>
      <c r="AE61" s="107">
        <v>3.0723605637368858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411">
        <v>91.839814528888965</v>
      </c>
      <c r="AP61" s="108"/>
      <c r="AQ61" s="111">
        <v>139.4923694043361</v>
      </c>
    </row>
    <row r="62" spans="1:43">
      <c r="A62" s="98" t="s">
        <v>179</v>
      </c>
      <c r="B62" s="302" t="s">
        <v>180</v>
      </c>
      <c r="C62" s="100">
        <v>2.9995488721804514E-3</v>
      </c>
      <c r="D62" s="418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2.3142108378868187</v>
      </c>
      <c r="M62" s="112"/>
      <c r="N62" s="102"/>
      <c r="O62" s="102"/>
      <c r="P62" s="108"/>
      <c r="Q62" s="410">
        <v>0.18204539003548986</v>
      </c>
      <c r="R62" s="108"/>
      <c r="S62" s="410">
        <v>0</v>
      </c>
      <c r="T62" s="410">
        <v>0.50472102152035059</v>
      </c>
      <c r="U62" s="410">
        <v>1.627444426330978</v>
      </c>
      <c r="V62" s="257">
        <v>0</v>
      </c>
      <c r="W62" s="108"/>
      <c r="X62" s="108"/>
      <c r="Y62" s="102"/>
      <c r="Z62" s="101"/>
      <c r="AA62" s="411">
        <v>32.63794045535122</v>
      </c>
      <c r="AB62" s="108">
        <v>0.1599324665434107</v>
      </c>
      <c r="AC62" s="308"/>
      <c r="AD62" s="112"/>
      <c r="AE62" s="107">
        <v>0.1599324665434107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411">
        <v>547.771009495209</v>
      </c>
      <c r="AP62" s="108"/>
      <c r="AQ62" s="111">
        <v>582.88609280386265</v>
      </c>
    </row>
    <row r="63" spans="1:43">
      <c r="A63" s="98" t="s">
        <v>181</v>
      </c>
      <c r="B63" s="302" t="s">
        <v>182</v>
      </c>
      <c r="C63" s="100">
        <v>9.9984962406015026E-4</v>
      </c>
      <c r="D63" s="419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1.4854297133194543</v>
      </c>
      <c r="M63" s="112"/>
      <c r="N63" s="102"/>
      <c r="O63" s="102"/>
      <c r="P63" s="108"/>
      <c r="Q63" s="420">
        <v>0.8308952435106074</v>
      </c>
      <c r="R63" s="108"/>
      <c r="S63" s="420">
        <v>0</v>
      </c>
      <c r="T63" s="420">
        <v>0.106064562493407</v>
      </c>
      <c r="U63" s="420">
        <v>0.54846990731543988</v>
      </c>
      <c r="V63" s="309">
        <v>0</v>
      </c>
      <c r="W63" s="108"/>
      <c r="X63" s="108"/>
      <c r="Y63" s="102"/>
      <c r="Z63" s="101"/>
      <c r="AA63" s="421">
        <v>15.278029964498533</v>
      </c>
      <c r="AB63" s="108">
        <v>1.4877767970844045</v>
      </c>
      <c r="AC63" s="308"/>
      <c r="AD63" s="112"/>
      <c r="AE63" s="107">
        <v>1.4877767970844045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421">
        <v>39.967757533486278</v>
      </c>
      <c r="AP63" s="108"/>
      <c r="AQ63" s="111">
        <v>58.219993858012728</v>
      </c>
    </row>
    <row r="64" spans="1:43">
      <c r="A64" s="162" t="s">
        <v>183</v>
      </c>
      <c r="B64" s="310"/>
      <c r="C64" s="164">
        <v>2.9995488721804514E-3</v>
      </c>
      <c r="D64" s="419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18.084297595664065</v>
      </c>
      <c r="M64" s="289"/>
      <c r="N64" s="313"/>
      <c r="O64" s="313"/>
      <c r="P64" s="170"/>
      <c r="Q64" s="420">
        <v>1.4972815795120793</v>
      </c>
      <c r="R64" s="170"/>
      <c r="S64" s="420">
        <v>0</v>
      </c>
      <c r="T64" s="420">
        <v>5.7476020675306589</v>
      </c>
      <c r="U64" s="420">
        <v>10.839413948621326</v>
      </c>
      <c r="V64" s="309">
        <v>0</v>
      </c>
      <c r="W64" s="170"/>
      <c r="X64" s="170"/>
      <c r="Y64" s="313"/>
      <c r="Z64" s="288"/>
      <c r="AA64" s="421">
        <v>62.378176344810136</v>
      </c>
      <c r="AB64" s="170">
        <v>27.384246661465866</v>
      </c>
      <c r="AC64" s="314"/>
      <c r="AD64" s="289"/>
      <c r="AE64" s="166">
        <v>2.0534288252332962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23.126490420175365</v>
      </c>
      <c r="AN64" s="168"/>
      <c r="AO64" s="421">
        <v>95.891236870986518</v>
      </c>
      <c r="AP64" s="170"/>
      <c r="AQ64" s="173">
        <v>203.74095702179875</v>
      </c>
    </row>
    <row r="65" spans="1:43">
      <c r="A65" s="290" t="s">
        <v>184</v>
      </c>
      <c r="B65" s="291"/>
      <c r="C65" s="164">
        <v>0</v>
      </c>
      <c r="D65" s="416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102.73018982139062</v>
      </c>
      <c r="M65" s="166"/>
      <c r="N65" s="167"/>
      <c r="O65" s="167"/>
      <c r="P65" s="263"/>
      <c r="Q65" s="417">
        <v>28.853359250028646</v>
      </c>
      <c r="R65" s="263"/>
      <c r="S65" s="417">
        <v>0.2093031229578676</v>
      </c>
      <c r="T65" s="417">
        <v>29.705392295567297</v>
      </c>
      <c r="U65" s="417">
        <v>43.962135152836815</v>
      </c>
      <c r="V65" s="297">
        <v>0</v>
      </c>
      <c r="W65" s="263"/>
      <c r="X65" s="263"/>
      <c r="Y65" s="167"/>
      <c r="Z65" s="166"/>
      <c r="AA65" s="415">
        <v>147.73741172839806</v>
      </c>
      <c r="AB65" s="170">
        <v>16.424891720146356</v>
      </c>
      <c r="AC65" s="171"/>
      <c r="AD65" s="166"/>
      <c r="AE65" s="166">
        <v>11.682890690827172</v>
      </c>
      <c r="AF65" s="166"/>
      <c r="AG65" s="166"/>
      <c r="AH65" s="166">
        <v>4.7420010293191828</v>
      </c>
      <c r="AI65" s="166"/>
      <c r="AJ65" s="166"/>
      <c r="AK65" s="166"/>
      <c r="AL65" s="166"/>
      <c r="AM65" s="167"/>
      <c r="AN65" s="168"/>
      <c r="AO65" s="415">
        <v>255.65189171676556</v>
      </c>
      <c r="AP65" s="170"/>
      <c r="AQ65" s="315">
        <v>522.54438498670061</v>
      </c>
    </row>
    <row r="66" spans="1:43">
      <c r="A66" s="149" t="s">
        <v>185</v>
      </c>
      <c r="B66" s="316" t="s">
        <v>186</v>
      </c>
      <c r="C66" s="151">
        <v>0</v>
      </c>
      <c r="D66" s="422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5.778706803435675</v>
      </c>
      <c r="M66" s="201"/>
      <c r="N66" s="203"/>
      <c r="O66" s="154"/>
      <c r="P66" s="203"/>
      <c r="Q66" s="408">
        <v>0.10855917754409945</v>
      </c>
      <c r="R66" s="203"/>
      <c r="S66" s="408">
        <v>3.6784380133192906E-4</v>
      </c>
      <c r="T66" s="408">
        <v>1.6001119341677781</v>
      </c>
      <c r="U66" s="408">
        <v>4.0696678479224655</v>
      </c>
      <c r="V66" s="203">
        <v>0</v>
      </c>
      <c r="W66" s="203"/>
      <c r="X66" s="203"/>
      <c r="Y66" s="154"/>
      <c r="Z66" s="153"/>
      <c r="AA66" s="409">
        <v>9.8218955204730083</v>
      </c>
      <c r="AB66" s="157">
        <v>4.7420010293191828</v>
      </c>
      <c r="AC66" s="158"/>
      <c r="AD66" s="153"/>
      <c r="AE66" s="153">
        <v>0</v>
      </c>
      <c r="AF66" s="153"/>
      <c r="AG66" s="153"/>
      <c r="AH66" s="153">
        <v>4.7420010293191828</v>
      </c>
      <c r="AI66" s="153"/>
      <c r="AJ66" s="153"/>
      <c r="AK66" s="153"/>
      <c r="AL66" s="153"/>
      <c r="AM66" s="154"/>
      <c r="AN66" s="155"/>
      <c r="AO66" s="409">
        <v>78.305856400519872</v>
      </c>
      <c r="AP66" s="157"/>
      <c r="AQ66" s="186">
        <v>98.648459753747744</v>
      </c>
    </row>
    <row r="67" spans="1:43">
      <c r="A67" s="319" t="s">
        <v>187</v>
      </c>
      <c r="B67" s="320">
        <v>84</v>
      </c>
      <c r="C67" s="100">
        <v>0</v>
      </c>
      <c r="D67" s="423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35.223100247190615</v>
      </c>
      <c r="M67" s="321"/>
      <c r="N67" s="257"/>
      <c r="O67" s="103"/>
      <c r="P67" s="257"/>
      <c r="Q67" s="412">
        <v>5.5081256544683068</v>
      </c>
      <c r="R67" s="257"/>
      <c r="S67" s="412">
        <v>4.7819694173150762E-3</v>
      </c>
      <c r="T67" s="412">
        <v>11.025228401254322</v>
      </c>
      <c r="U67" s="412">
        <v>18.684964222050667</v>
      </c>
      <c r="V67" s="247">
        <v>0</v>
      </c>
      <c r="W67" s="257"/>
      <c r="X67" s="257"/>
      <c r="Y67" s="103"/>
      <c r="Z67" s="107"/>
      <c r="AA67" s="413">
        <v>47.282230908752538</v>
      </c>
      <c r="AB67" s="108">
        <v>7.5122388147110302</v>
      </c>
      <c r="AC67" s="109"/>
      <c r="AD67" s="107"/>
      <c r="AE67" s="107">
        <v>7.5122388147110302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413">
        <v>82.072683636855743</v>
      </c>
      <c r="AP67" s="108"/>
      <c r="AQ67" s="111">
        <v>172.09025360750991</v>
      </c>
    </row>
    <row r="68" spans="1:43">
      <c r="A68" s="98" t="s">
        <v>188</v>
      </c>
      <c r="B68" s="302">
        <v>85</v>
      </c>
      <c r="C68" s="100">
        <v>0</v>
      </c>
      <c r="D68" s="423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46.616006234857764</v>
      </c>
      <c r="M68" s="321"/>
      <c r="N68" s="257"/>
      <c r="O68" s="103"/>
      <c r="P68" s="257"/>
      <c r="Q68" s="412">
        <v>18.020823472320508</v>
      </c>
      <c r="R68" s="257"/>
      <c r="S68" s="412">
        <v>6.2901290027759862E-2</v>
      </c>
      <c r="T68" s="412">
        <v>12.555849759995386</v>
      </c>
      <c r="U68" s="412">
        <v>15.976431712514108</v>
      </c>
      <c r="V68" s="247">
        <v>0</v>
      </c>
      <c r="W68" s="257"/>
      <c r="X68" s="257"/>
      <c r="Y68" s="103"/>
      <c r="Z68" s="107"/>
      <c r="AA68" s="413">
        <v>33.141517979320724</v>
      </c>
      <c r="AB68" s="108">
        <v>2.1723336620904989</v>
      </c>
      <c r="AC68" s="109"/>
      <c r="AD68" s="107"/>
      <c r="AE68" s="107">
        <v>2.1723336620904989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413">
        <v>51.018271678117721</v>
      </c>
      <c r="AP68" s="108"/>
      <c r="AQ68" s="111">
        <v>132.9481295543867</v>
      </c>
    </row>
    <row r="69" spans="1:43">
      <c r="A69" s="162" t="s">
        <v>189</v>
      </c>
      <c r="B69" s="310" t="s">
        <v>190</v>
      </c>
      <c r="C69" s="280">
        <v>0</v>
      </c>
      <c r="D69" s="424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15.112376535906575</v>
      </c>
      <c r="M69" s="323"/>
      <c r="N69" s="263"/>
      <c r="O69" s="167"/>
      <c r="P69" s="263"/>
      <c r="Q69" s="425">
        <v>5.215850945695732</v>
      </c>
      <c r="R69" s="263"/>
      <c r="S69" s="425">
        <v>0.14125201971146076</v>
      </c>
      <c r="T69" s="425">
        <v>4.5242022001498086</v>
      </c>
      <c r="U69" s="425">
        <v>5.2310713703495733</v>
      </c>
      <c r="V69" s="263">
        <v>0</v>
      </c>
      <c r="W69" s="263"/>
      <c r="X69" s="263"/>
      <c r="Y69" s="167"/>
      <c r="Z69" s="166"/>
      <c r="AA69" s="426">
        <v>57.491767319851789</v>
      </c>
      <c r="AB69" s="285">
        <v>1.9983182140256432</v>
      </c>
      <c r="AC69" s="286"/>
      <c r="AD69" s="279"/>
      <c r="AE69" s="279">
        <v>1.9983182140256432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426">
        <v>44.255080001272191</v>
      </c>
      <c r="AP69" s="285"/>
      <c r="AQ69" s="287">
        <v>118.8575420710562</v>
      </c>
    </row>
    <row r="70" spans="1:43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271.61536362813922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427">
        <v>271.61536362813922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43.229609872615789</v>
      </c>
      <c r="AP70" s="195"/>
      <c r="AQ70" s="185">
        <v>314.84497350075503</v>
      </c>
    </row>
    <row r="71" spans="1:43" ht="15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17.28690504142012</v>
      </c>
      <c r="M71" s="166"/>
      <c r="N71" s="166"/>
      <c r="O71" s="166"/>
      <c r="P71" s="166"/>
      <c r="Q71" s="166"/>
      <c r="R71" s="166"/>
      <c r="S71" s="166"/>
      <c r="T71" s="166"/>
      <c r="U71" s="289">
        <v>17.28690504142012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17.28690504142012</v>
      </c>
    </row>
    <row r="72" spans="1:43" ht="15" thickBot="1">
      <c r="A72" s="218" t="s">
        <v>149</v>
      </c>
      <c r="B72" s="219"/>
      <c r="C72" s="220">
        <v>-10.540753997657845</v>
      </c>
      <c r="D72" s="221">
        <v>-2.5666574604452279</v>
      </c>
      <c r="E72" s="222">
        <v>-6.3895034951263199</v>
      </c>
      <c r="F72" s="226">
        <v>0</v>
      </c>
      <c r="G72" s="226">
        <v>-1.5892480420862407</v>
      </c>
      <c r="H72" s="223">
        <v>1.2248722648954526</v>
      </c>
      <c r="I72" s="221">
        <v>-2.8992991375604404</v>
      </c>
      <c r="J72" s="224">
        <v>0</v>
      </c>
      <c r="K72" s="222">
        <v>4.1241714024559215</v>
      </c>
      <c r="L72" s="223">
        <v>-86.957099629163167</v>
      </c>
      <c r="M72" s="222">
        <v>0</v>
      </c>
      <c r="N72" s="222">
        <v>2.1661421905413647E-2</v>
      </c>
      <c r="O72" s="222">
        <v>-0.7674587180194834</v>
      </c>
      <c r="P72" s="222">
        <v>-5.8038232111109664</v>
      </c>
      <c r="Q72" s="222">
        <v>0.72977428159981628</v>
      </c>
      <c r="R72" s="222">
        <v>-22.792445491920034</v>
      </c>
      <c r="S72" s="222">
        <v>-5.7716286788411502</v>
      </c>
      <c r="T72" s="222">
        <v>11.506599448877097</v>
      </c>
      <c r="U72" s="222">
        <v>-64.033079857985285</v>
      </c>
      <c r="V72" s="222">
        <v>-0.44344987201017716</v>
      </c>
      <c r="W72" s="226">
        <v>0.39675104834254604</v>
      </c>
      <c r="X72" s="226">
        <v>0</v>
      </c>
      <c r="Y72" s="226">
        <v>0</v>
      </c>
      <c r="Z72" s="222">
        <v>0</v>
      </c>
      <c r="AA72" s="223">
        <v>-2.3889902131529652</v>
      </c>
      <c r="AB72" s="225">
        <v>-0.7929450008572303</v>
      </c>
      <c r="AC72" s="331">
        <v>0</v>
      </c>
      <c r="AD72" s="222">
        <v>0</v>
      </c>
      <c r="AE72" s="222">
        <v>-10.995561064601674</v>
      </c>
      <c r="AF72" s="222">
        <v>0</v>
      </c>
      <c r="AG72" s="222">
        <v>0</v>
      </c>
      <c r="AH72" s="222">
        <v>0</v>
      </c>
      <c r="AI72" s="222">
        <v>10.043949358271988</v>
      </c>
      <c r="AJ72" s="222">
        <v>0.15866670547200457</v>
      </c>
      <c r="AK72" s="221">
        <v>0</v>
      </c>
      <c r="AL72" s="226">
        <v>0</v>
      </c>
      <c r="AM72" s="222">
        <v>0</v>
      </c>
      <c r="AN72" s="223">
        <v>0</v>
      </c>
      <c r="AO72" s="223">
        <v>-36.537212306898255</v>
      </c>
      <c r="AP72" s="225">
        <v>0</v>
      </c>
      <c r="AQ72" s="227">
        <v>-135.99212888283401</v>
      </c>
    </row>
    <row r="74" spans="1:43">
      <c r="A74" s="204" t="s">
        <v>542</v>
      </c>
    </row>
    <row r="75" spans="1:43">
      <c r="A75" s="333" t="s">
        <v>543</v>
      </c>
    </row>
    <row r="76" spans="1:43">
      <c r="A76" s="334" t="s">
        <v>544</v>
      </c>
    </row>
    <row r="77" spans="1:43">
      <c r="A77" s="336" t="s">
        <v>545</v>
      </c>
    </row>
    <row r="78" spans="1:43">
      <c r="A78" s="369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796875" defaultRowHeight="14.5"/>
  <cols>
    <col min="1" max="16384" width="9.17968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New vehicle sales</vt:lpstr>
      <vt:lpstr>CO2-NET-multi</vt:lpstr>
      <vt:lpstr>CO2-NET-single</vt:lpstr>
      <vt:lpstr>EB2018</vt:lpstr>
      <vt:lpstr>EB2019</vt:lpstr>
      <vt:lpstr>EB2020</vt:lpstr>
      <vt:lpstr>EB2021</vt:lpstr>
      <vt:lpstr>EB2022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2024-03-06T10:06:33Z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