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xr:revisionPtr revIDLastSave="0" documentId="13_ncr:1_{C8106781-7B15-4428-A72D-1D1029AF3A0F}" xr6:coauthVersionLast="47" xr6:coauthVersionMax="47" xr10:uidLastSave="{00000000-0000-0000-0000-000000000000}"/>
  <bookViews>
    <workbookView xWindow="-120" yWindow="-120" windowWidth="29040" windowHeight="1572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RSD-Retrofits" sheetId="9" r:id="rId7"/>
    <sheet name="TRA" sheetId="1" r:id="rId8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6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6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4" l="1"/>
  <c r="B10" i="1"/>
  <c r="J10" i="1"/>
  <c r="L10" i="1"/>
  <c r="N10" i="1"/>
  <c r="J9" i="1"/>
  <c r="N9" i="1"/>
  <c r="B9" i="1"/>
  <c r="G30" i="4"/>
  <c r="G31" i="4"/>
  <c r="G28" i="4"/>
  <c r="G29" i="4"/>
  <c r="B7" i="7"/>
  <c r="G7" i="7"/>
  <c r="I7" i="7"/>
  <c r="K7" i="7"/>
  <c r="B8" i="7"/>
  <c r="G8" i="7"/>
  <c r="I8" i="7"/>
  <c r="K8" i="7"/>
  <c r="B2" i="9"/>
  <c r="N6" i="9"/>
  <c r="L6" i="9"/>
  <c r="J6" i="9"/>
  <c r="B6" i="9"/>
  <c r="J7" i="8"/>
  <c r="L7" i="8"/>
  <c r="J8" i="8"/>
  <c r="L8" i="8"/>
  <c r="J6" i="8"/>
  <c r="L6" i="8"/>
  <c r="N6" i="8"/>
  <c r="B59" i="1" l="1"/>
  <c r="G18" i="7"/>
  <c r="F18" i="7"/>
  <c r="G36" i="8"/>
  <c r="F36" i="8"/>
  <c r="G23" i="5"/>
  <c r="F23" i="5"/>
  <c r="G19" i="7"/>
  <c r="H37" i="8"/>
  <c r="G37" i="8"/>
  <c r="H24" i="5"/>
  <c r="G24" i="5"/>
  <c r="L6" i="1" l="1"/>
  <c r="L9" i="1"/>
  <c r="J12" i="8"/>
  <c r="L12" i="8"/>
  <c r="N12" i="8"/>
  <c r="J13" i="8"/>
  <c r="L13" i="8"/>
  <c r="N13" i="8"/>
  <c r="J14" i="8"/>
  <c r="L14" i="8"/>
  <c r="N14" i="8"/>
  <c r="J15" i="8"/>
  <c r="L15" i="8"/>
  <c r="N15" i="8"/>
  <c r="J16" i="8"/>
  <c r="L16" i="8"/>
  <c r="N16" i="8"/>
  <c r="J17" i="8"/>
  <c r="L17" i="8"/>
  <c r="N17" i="8"/>
  <c r="B7" i="8"/>
  <c r="B8" i="8"/>
  <c r="B9" i="8"/>
  <c r="B10" i="8"/>
  <c r="B11" i="8"/>
  <c r="B12" i="8"/>
  <c r="B13" i="8"/>
  <c r="B14" i="8"/>
  <c r="B15" i="8"/>
  <c r="B16" i="8"/>
  <c r="B17" i="8"/>
  <c r="B6" i="8"/>
  <c r="N7" i="8"/>
  <c r="N11" i="8" l="1"/>
  <c r="L11" i="8"/>
  <c r="J11" i="8"/>
  <c r="N10" i="8"/>
  <c r="L10" i="8"/>
  <c r="J10" i="8"/>
  <c r="N9" i="8"/>
  <c r="L9" i="8"/>
  <c r="J9" i="8"/>
  <c r="N8" i="8"/>
  <c r="B2" i="8"/>
  <c r="B10" i="5"/>
  <c r="J10" i="5"/>
  <c r="L10" i="5"/>
  <c r="N10" i="5"/>
  <c r="B9" i="5" l="1"/>
  <c r="J9" i="5"/>
  <c r="L9" i="5"/>
  <c r="N9" i="5"/>
  <c r="B8" i="5" l="1"/>
  <c r="J8" i="5"/>
  <c r="L8" i="5"/>
  <c r="N8" i="5"/>
  <c r="K6" i="7"/>
  <c r="I6" i="7"/>
  <c r="G6" i="7"/>
  <c r="B6" i="7"/>
  <c r="B2" i="7"/>
  <c r="G25" i="4"/>
  <c r="G27" i="4"/>
  <c r="G24" i="4"/>
  <c r="K9" i="4"/>
  <c r="B9" i="4"/>
  <c r="G9" i="4"/>
  <c r="I9" i="4"/>
  <c r="B10" i="4"/>
  <c r="G10" i="4"/>
  <c r="I10" i="4"/>
  <c r="K10" i="4"/>
  <c r="B11" i="4"/>
  <c r="G11" i="4"/>
  <c r="I11" i="4"/>
  <c r="K11" i="4"/>
  <c r="L11" i="1" l="1"/>
  <c r="L7" i="1"/>
  <c r="L8" i="1"/>
  <c r="N6" i="1"/>
  <c r="N7" i="1"/>
  <c r="N8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B6" i="1"/>
  <c r="B7" i="1"/>
  <c r="B8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N7" i="5"/>
  <c r="L7" i="5"/>
  <c r="J7" i="5"/>
  <c r="B7" i="5"/>
  <c r="N6" i="5"/>
  <c r="L6" i="5"/>
  <c r="J6" i="5"/>
  <c r="B6" i="5"/>
  <c r="B2" i="1" l="1"/>
  <c r="J6" i="1"/>
  <c r="J7" i="1"/>
  <c r="J8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9" i="1"/>
  <c r="P58" i="1"/>
  <c r="P57" i="1"/>
  <c r="P56" i="1"/>
  <c r="B56" i="1"/>
  <c r="C56" i="1"/>
  <c r="D56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L21" i="1" l="1"/>
  <c r="L22" i="1"/>
  <c r="L23" i="1"/>
  <c r="L24" i="1"/>
  <c r="L25" i="1"/>
  <c r="G7" i="2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9" i="1" l="1"/>
  <c r="B58" i="1" l="1"/>
  <c r="B57" i="1"/>
  <c r="E56" i="1"/>
  <c r="F56" i="1" s="1"/>
  <c r="G56" i="1" s="1"/>
  <c r="H56" i="1" s="1"/>
  <c r="I56" i="1" s="1"/>
  <c r="J56" i="1" s="1"/>
  <c r="K56" i="1" s="1"/>
  <c r="L56" i="1" s="1"/>
  <c r="M56" i="1" s="1"/>
  <c r="N56" i="1" s="1"/>
  <c r="O56" i="1" s="1"/>
  <c r="E32" i="1"/>
  <c r="E33" i="1"/>
  <c r="E34" i="1"/>
  <c r="E35" i="1"/>
  <c r="E36" i="1"/>
  <c r="E37" i="1"/>
  <c r="E39" i="1"/>
  <c r="E40" i="1"/>
  <c r="E41" i="1"/>
  <c r="E38" i="1"/>
  <c r="C57" i="1" l="1"/>
  <c r="L18" i="1"/>
  <c r="L19" i="1"/>
  <c r="L20" i="1"/>
  <c r="L16" i="1"/>
  <c r="L17" i="1"/>
  <c r="C58" i="1"/>
  <c r="D58" i="1" s="1"/>
  <c r="E58" i="1" s="1"/>
  <c r="F58" i="1" s="1"/>
  <c r="G58" i="1" s="1"/>
  <c r="H58" i="1" s="1"/>
  <c r="I58" i="1" s="1"/>
  <c r="J58" i="1" s="1"/>
  <c r="L15" i="1"/>
  <c r="L12" i="1"/>
  <c r="L13" i="1"/>
  <c r="L14" i="1"/>
  <c r="D57" i="1"/>
  <c r="E57" i="1" s="1"/>
  <c r="F57" i="1" s="1"/>
  <c r="G57" i="1" s="1"/>
  <c r="H57" i="1" s="1"/>
  <c r="I57" i="1" s="1"/>
  <c r="J57" i="1" s="1"/>
  <c r="D59" i="1"/>
  <c r="E59" i="1" s="1"/>
  <c r="F59" i="1" s="1"/>
  <c r="G59" i="1" s="1"/>
  <c r="H59" i="1" s="1"/>
  <c r="I59" i="1" l="1"/>
  <c r="J59" i="1" s="1"/>
  <c r="K59" i="1" s="1"/>
  <c r="L59" i="1" s="1"/>
  <c r="M59" i="1" s="1"/>
  <c r="N59" i="1" s="1"/>
  <c r="O59" i="1" s="1"/>
  <c r="K57" i="1"/>
  <c r="L57" i="1" s="1"/>
  <c r="M57" i="1" s="1"/>
  <c r="N57" i="1" s="1"/>
  <c r="O57" i="1" s="1"/>
  <c r="K58" i="1"/>
  <c r="L58" i="1" s="1"/>
  <c r="M58" i="1" s="1"/>
  <c r="N58" i="1" s="1"/>
  <c r="O5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<sst xmlns="http://schemas.openxmlformats.org/spreadsheetml/2006/main" count="551" uniqueCount="243">
  <si>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</si>
  <si>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</si>
  <si>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</si>
  <si>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</si>
  <si>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</si>
  <si>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</si>
  <si>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</si>
  <si>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</si>
  <si>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</si>
  <si>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</si>
  <si>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</si>
  <si>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</si>
  <si>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</si>
  <si>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</si>
  <si>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</si>
  <si>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</si>
  <si>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</si>
  <si>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</si>
  <si>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</si>
  <si>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</si>
  <si>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</si>
  <si>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</si>
  <si>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</si>
  <si>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</si>
  <si>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</si>
  <si>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</si>
  <si>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</si>
  <si>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</si>
  <si>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</si>
  <si>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</si>
  <si>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</si>
  <si>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</si>
  <si>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</si>
  <si>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</si>
  <si>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</si>
  <si>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</si>
  <si>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</si>
  <si>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</si>
  <si>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</si>
  <si>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</si>
  <si>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</si>
  <si>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</si>
  <si>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</si>
  <si>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</si>
  <si>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</si>
  <si>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</si>
  <si>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</si>
  <si>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</si>
  <si>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</si>
  <si>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</si>
  <si>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</si>
  <si>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</si>
  <si>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</si>
  <si>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</si>
  <si>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</si>
  <si>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</si>
  <si>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</si>
  <si>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</si>
  <si>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</si>
  <si>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</si>
  <si>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</si>
  <si>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</si>
  <si>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</si>
  <si>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</si>
  <si>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</si>
  <si>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</si>
  <si>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</si>
  <si>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</si>
  <si>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</si>
  <si>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</si>
  <si>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</si>
  <si>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</si>
  <si>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</si>
  <si>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</si>
  <si>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</si>
  <si>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</si>
  <si>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</si>
  <si>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</si>
  <si>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</si>
  <si>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</si>
  <si>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</si>
  <si>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</si>
  <si>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</si>
  <si>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</si>
  <si>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</si>
  <si>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</si>
  <si>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</si>
  <si>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</si>
  <si>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</si>
  <si>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</si>
  <si>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</si>
  <si>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</si>
  <si>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</si>
  <si>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</si>
  <si>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</si>
  <si>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</si>
  <si>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</si>
  <si>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</si>
  <si>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</si>
  <si>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</si>
  <si>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</si>
  <si>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</si>
  <si>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</si>
  <si>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</si>
  <si>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</si>
  <si>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</si>
  <si>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</si>
  <si>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</si>
  <si>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</si>
  <si>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</si>
  <si>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</si>
  <si>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</si>
  <si>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</si>
  <si>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</si>
  <si>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</si>
  <si>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</si>
  <si>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</si>
  <si>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</si>
  <si>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</si>
  <si>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</si>
  <si>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</si>
  <si>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</si>
  <si>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</si>
  <si>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</si>
  <si>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</si>
  <si>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</si>
  <si>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</si>
  <si>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</si>
  <si>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</si>
  <si>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</si>
  <si>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</si>
  <si>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</si>
  <si>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</si>
  <si>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</si>
  <si>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</si>
  <si>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</si>
  <si>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</si>
  <si>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</si>
  <si>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</si>
  <si>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</si>
  <si>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</si>
  <si>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</si>
  <si>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</si>
  <si>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</si>
  <si>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</si>
  <si>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</si>
  <si>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</si>
  <si>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</si>
  <si>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</si>
  <si>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</si>
  <si>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</si>
  <si>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</si>
  <si>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</si>
  <si>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</si>
  <si>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</si>
  <si>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</si>
  <si>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</si>
  <si>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</si>
  <si>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</si>
  <si>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</si>
  <si>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</si>
  <si>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</si>
  <si>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</si>
  <si>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</si>
  <si>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</si>
  <si>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</si>
  <si>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</si>
  <si>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</si>
  <si>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</si>
  <si>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</si>
  <si>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</si>
  <si>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</si>
  <si>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</si>
  <si>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</si>
  <si>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</si>
  <si>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</si>
  <si>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</si>
  <si>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</si>
  <si>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</si>
  <si>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</si>
  <si>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</si>
  <si>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</si>
  <si>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</si>
  <si>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</si>
  <si>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</si>
  <si>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</si>
  <si>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</si>
  <si>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</si>
  <si>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</si>
  <si>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</si>
  <si>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</si>
  <si>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</si>
  <si>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SRVHET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</si>
  <si>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</si>
  <si>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</si>
  <si>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</si>
  <si>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</si>
  <si>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</si>
  <si>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</si>
  <si>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</si>
  <si>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</si>
  <si>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</si>
  <si>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</si>
  <si>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</si>
  <si>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</si>
  <si>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</si>
  <si>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</si>
  <si>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</si>
  <si>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</si>
  <si>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</si>
  <si>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</si>
  <si>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RSDHET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</si>
  <si>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</si>
  <si>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</si>
  <si>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</si>
  <si>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</si>
  <si>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</si>
  <si>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</si>
  <si>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</si>
  <si>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</si>
  <si>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</si>
  <si>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</si>
  <si>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</si>
  <si>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UC_NCAP~RHS</t>
  </si>
  <si>
    <t>NCAP, GROWTH</t>
  </si>
  <si>
    <t>R-RTFT*</t>
  </si>
  <si>
    <t>UC_RSD_MaxNCap_Retrofits</t>
  </si>
  <si>
    <t>RSD maximum new retrofits</t>
  </si>
  <si>
    <t>Starting value (kUnits)</t>
  </si>
  <si>
    <t>Retrofits</t>
  </si>
  <si>
    <t>BIODST</t>
  </si>
  <si>
    <t>BIOETH</t>
  </si>
  <si>
    <t>SBIORDST*</t>
  </si>
  <si>
    <t>SBIORETH*</t>
  </si>
  <si>
    <t>B100-ICE</t>
  </si>
  <si>
    <t>T-CAR-ICE_B100*</t>
  </si>
  <si>
    <t>E85-ICE</t>
  </si>
  <si>
    <t>T-CAR-ICE_E85*</t>
  </si>
  <si>
    <t>UC_PWRMSW_NODECAY</t>
  </si>
  <si>
    <t>PWRMSW</t>
  </si>
  <si>
    <t>Non-decay constraint for waste incineration</t>
  </si>
  <si>
    <t>TFM_INS</t>
  </si>
  <si>
    <t>Bakytzhan Suleimenov (UCC, bsuleimenov@ucc.ie)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</si>
</sst>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</numFmts>
  <fonts count="2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00B050"/>
      <name val="Calibri"/>
      <family val="2"/>
      <scheme val="minor"/>
    </font>
    <font>
      <sz val="11"/>
      <color rgb="FF00B05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6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0" fontId="2" fillId="0" borderId="0" xfId="2" applyNumberFormat="1" applyFont="1"/>
    <xf numFmtId="0" fontId="20" fillId="0" borderId="0" xfId="0" applyFont="1"/>
    <xf numFmtId="9" fontId="20" fillId="0" borderId="0" xfId="0" applyNumberFormat="1" applyFont="1"/>
    <xf numFmtId="0" fontId="21" fillId="0" borderId="0" xfId="0" applyFont="1"/>
    <xf numFmtId="2" fontId="21" fillId="0" borderId="0" xfId="0" applyNumberFormat="1" applyFont="1"/>
    <xf numFmtId="166" fontId="21" fillId="0" borderId="0" xfId="0" applyNumberFormat="1" applyFont="1"/>
    <xf numFmtId="9" fontId="0" fillId="12" borderId="0" xfId="0" applyNumberFormat="1" applyFill="1"/>
    <xf numFmtId="0" fontId="0" fillId="12" borderId="0" xfId="0" applyFill="1"/>
    <xf numFmtId="9" fontId="8" fillId="12" borderId="0" xfId="0" applyNumberFormat="1" applyFont="1" applyFill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topLeftCell="A4" zoomScaleNormal="100" workbookViewId="0">
      <selection activeCell="B27" sqref="B27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>
      <c r="A16" s="60" t="s">
        <v>161</v>
      </c>
      <c r="B16" s="60"/>
      <c r="C16" s="60"/>
      <c r="D16" s="60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>
      <c r="A19" s="37" t="s">
        <v>162</v>
      </c>
      <c r="B19" s="59" t="s">
        <v>173</v>
      </c>
      <c r="C19" s="59"/>
      <c r="D19" s="59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>
      <c r="A20" s="37" t="s">
        <v>163</v>
      </c>
      <c r="B20" s="59" t="s">
        <v>176</v>
      </c>
      <c r="C20" s="59"/>
      <c r="D20" s="59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>
      <c r="A23" s="37" t="s">
        <v>165</v>
      </c>
      <c r="B23" s="59" t="s">
        <v>178</v>
      </c>
      <c r="C23" s="59"/>
      <c r="D23" s="59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>
      <c r="A24" s="37"/>
      <c r="B24" s="59" t="s">
        <v>174</v>
      </c>
      <c r="C24" s="59"/>
      <c r="D24" s="59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>
      <c r="A26" s="37" t="s">
        <v>166</v>
      </c>
      <c r="B26" s="59" t="s">
        <v>242</v>
      </c>
      <c r="C26" s="59"/>
      <c r="D26" s="59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>
      <c r="A30" s="37" t="s">
        <v>168</v>
      </c>
      <c r="B30" s="61" t="s">
        <v>169</v>
      </c>
      <c r="C30" s="59"/>
      <c r="D30" s="59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>
      <c r="A31" s="37" t="s">
        <v>170</v>
      </c>
      <c r="B31" s="59" t="s">
        <v>171</v>
      </c>
      <c r="C31" s="59"/>
      <c r="D31" s="59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>
      <c r="A4">
        <v>1</v>
      </c>
    </row>
    <row r="5" spans="1:30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>
      <c r="A10" s="22" t="s">
        <v>56</v>
      </c>
      <c r="B10" s="22" t="s">
        <v>57</v>
      </c>
    </row>
    <row r="11" spans="1:30">
      <c r="A11" s="23" t="s">
        <v>58</v>
      </c>
      <c r="B11" s="23" t="s">
        <v>59</v>
      </c>
    </row>
    <row r="12" spans="1:30">
      <c r="A12" s="24" t="s">
        <v>60</v>
      </c>
      <c r="B12" s="24" t="s">
        <v>61</v>
      </c>
    </row>
    <row r="13" spans="1:30">
      <c r="A13" s="24" t="s">
        <v>62</v>
      </c>
      <c r="B13" s="24" t="s">
        <v>63</v>
      </c>
    </row>
    <row r="14" spans="1:30">
      <c r="A14" s="24" t="s">
        <v>64</v>
      </c>
      <c r="B14" s="24" t="s">
        <v>65</v>
      </c>
    </row>
    <row r="15" spans="1:30">
      <c r="A15" s="24" t="s">
        <v>66</v>
      </c>
      <c r="B15" s="24" t="s">
        <v>67</v>
      </c>
    </row>
    <row r="16" spans="1:30">
      <c r="A16" s="24" t="s">
        <v>68</v>
      </c>
      <c r="B16" s="24" t="s">
        <v>69</v>
      </c>
    </row>
    <row r="17" spans="1:2">
      <c r="A17" s="24" t="s">
        <v>70</v>
      </c>
      <c r="B17" s="24" t="s">
        <v>71</v>
      </c>
    </row>
    <row r="18" spans="1:2">
      <c r="A18" s="24" t="s">
        <v>72</v>
      </c>
      <c r="B18" s="24" t="s">
        <v>73</v>
      </c>
    </row>
    <row r="19" spans="1:2">
      <c r="A19" s="24" t="s">
        <v>74</v>
      </c>
      <c r="B19" s="24" t="s">
        <v>75</v>
      </c>
    </row>
    <row r="20" spans="1:2">
      <c r="A20" s="24" t="s">
        <v>76</v>
      </c>
      <c r="B20" s="24" t="s">
        <v>77</v>
      </c>
    </row>
    <row r="21" spans="1:2">
      <c r="A21" s="24" t="s">
        <v>78</v>
      </c>
      <c r="B21" s="24" t="s">
        <v>79</v>
      </c>
    </row>
    <row r="22" spans="1:2">
      <c r="A22" s="24" t="s">
        <v>80</v>
      </c>
      <c r="B22" s="24" t="s">
        <v>81</v>
      </c>
    </row>
    <row r="23" spans="1:2">
      <c r="A23" s="24" t="s">
        <v>82</v>
      </c>
      <c r="B23" s="24" t="s">
        <v>83</v>
      </c>
    </row>
    <row r="24" spans="1:2">
      <c r="A24" s="24" t="s">
        <v>84</v>
      </c>
      <c r="B24" s="24" t="s">
        <v>85</v>
      </c>
    </row>
    <row r="25" spans="1:2">
      <c r="A25" s="24" t="s">
        <v>86</v>
      </c>
      <c r="B25" s="24" t="s">
        <v>87</v>
      </c>
    </row>
    <row r="26" spans="1:2">
      <c r="A26" s="24" t="s">
        <v>88</v>
      </c>
      <c r="B26" s="24" t="s">
        <v>89</v>
      </c>
    </row>
    <row r="27" spans="1:2">
      <c r="A27" s="24" t="s">
        <v>90</v>
      </c>
      <c r="B27" s="24" t="s">
        <v>91</v>
      </c>
    </row>
    <row r="28" spans="1:2">
      <c r="A28" s="24" t="s">
        <v>92</v>
      </c>
      <c r="B28" s="24" t="s">
        <v>93</v>
      </c>
    </row>
    <row r="29" spans="1:2">
      <c r="A29" s="24" t="s">
        <v>94</v>
      </c>
      <c r="B29" s="24" t="s">
        <v>95</v>
      </c>
    </row>
    <row r="30" spans="1:2">
      <c r="A30" s="24" t="s">
        <v>96</v>
      </c>
      <c r="B30" s="24" t="s">
        <v>97</v>
      </c>
    </row>
    <row r="31" spans="1:2">
      <c r="A31" s="24" t="s">
        <v>98</v>
      </c>
      <c r="B31" s="24" t="s">
        <v>99</v>
      </c>
    </row>
    <row r="32" spans="1:2">
      <c r="A32" s="24" t="s">
        <v>100</v>
      </c>
      <c r="B32" s="24" t="s">
        <v>101</v>
      </c>
    </row>
    <row r="33" spans="1:2">
      <c r="A33" s="24" t="s">
        <v>102</v>
      </c>
      <c r="B33" s="24" t="s">
        <v>103</v>
      </c>
    </row>
    <row r="34" spans="1:2">
      <c r="A34" s="24" t="s">
        <v>104</v>
      </c>
      <c r="B34" s="24" t="s">
        <v>105</v>
      </c>
    </row>
    <row r="35" spans="1:2">
      <c r="A35" s="24" t="s">
        <v>106</v>
      </c>
      <c r="B35" s="24" t="s">
        <v>107</v>
      </c>
    </row>
    <row r="36" spans="1:2">
      <c r="A36" s="24" t="s">
        <v>108</v>
      </c>
      <c r="B36" s="24" t="s">
        <v>109</v>
      </c>
    </row>
    <row r="37" spans="1:2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9"/>
  <sheetViews>
    <sheetView zoomScaleNormal="100" workbookViewId="0">
      <selection activeCell="B17" sqref="B17"/>
    </sheetView>
  </sheetViews>
  <sheetFormatPr defaultRowHeight="15"/>
  <cols>
    <col min="2" max="2" width="27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>
      <c r="B6" s="2" t="str">
        <f t="shared" ref="B6" si="0">_xlfn.TEXTJOIN("_",TRUE,"UC",A12,"MaxGrowth",B12)</f>
        <v>UC_SUP_MaxGrowth_BIOGAS</v>
      </c>
      <c r="C6" s="2" t="s">
        <v>144</v>
      </c>
      <c r="D6" s="2" t="s">
        <v>188</v>
      </c>
      <c r="E6" s="2">
        <v>2022</v>
      </c>
      <c r="F6" s="2" t="s">
        <v>15</v>
      </c>
      <c r="G6" s="26">
        <f t="shared" ref="G6:G8" si="1">1+$C12</f>
        <v>1.4</v>
      </c>
      <c r="H6" s="2">
        <v>1</v>
      </c>
      <c r="I6" s="16">
        <f t="shared" ref="I6" si="2">-D12</f>
        <v>-0.2</v>
      </c>
      <c r="J6" s="2">
        <v>5</v>
      </c>
      <c r="K6" s="2" t="str">
        <f t="shared" ref="K6" si="3">_xlfn.TEXTJOIN(" ",TRUE,A12, "maximum growth rate of",B12)</f>
        <v>SUP maximum growth rate of BIOGAS</v>
      </c>
    </row>
    <row r="7" spans="1:14">
      <c r="B7" s="2" t="str">
        <f t="shared" ref="B7:B8" si="4">_xlfn.TEXTJOIN("_",TRUE,"UC",A13,"MaxGrowth",B13)</f>
        <v>UC_SUP_MaxGrowth_BIODST</v>
      </c>
      <c r="C7" s="2" t="s">
        <v>144</v>
      </c>
      <c r="D7" s="2" t="s">
        <v>232</v>
      </c>
      <c r="E7" s="2">
        <v>2022</v>
      </c>
      <c r="F7" s="2" t="s">
        <v>15</v>
      </c>
      <c r="G7" s="26">
        <f t="shared" si="1"/>
        <v>1.4</v>
      </c>
      <c r="H7" s="2">
        <v>1</v>
      </c>
      <c r="I7" s="16">
        <f t="shared" ref="I7:I8" si="5">-D13</f>
        <v>-1</v>
      </c>
      <c r="J7" s="2">
        <v>5</v>
      </c>
      <c r="K7" s="2" t="str">
        <f t="shared" ref="K7:K8" si="6">_xlfn.TEXTJOIN(" ",TRUE,A13, "maximum growth rate of",B13)</f>
        <v>SUP maximum growth rate of BIODST</v>
      </c>
    </row>
    <row r="8" spans="1:14">
      <c r="B8" s="2" t="str">
        <f t="shared" si="4"/>
        <v>UC_SUP_MaxGrowth_BIOETH</v>
      </c>
      <c r="C8" s="2" t="s">
        <v>144</v>
      </c>
      <c r="D8" s="2" t="s">
        <v>233</v>
      </c>
      <c r="E8" s="2">
        <v>2022</v>
      </c>
      <c r="F8" s="2" t="s">
        <v>15</v>
      </c>
      <c r="G8" s="26">
        <f t="shared" si="1"/>
        <v>1.4</v>
      </c>
      <c r="H8" s="2">
        <v>1</v>
      </c>
      <c r="I8" s="16">
        <f t="shared" si="5"/>
        <v>-1</v>
      </c>
      <c r="J8" s="2">
        <v>5</v>
      </c>
      <c r="K8" s="2" t="str">
        <f t="shared" si="6"/>
        <v>SUP maximum growth rate of BIOETH</v>
      </c>
    </row>
    <row r="9" spans="1:14">
      <c r="B9" s="2"/>
      <c r="C9" s="2"/>
      <c r="D9" s="2"/>
      <c r="E9" s="2"/>
      <c r="F9" s="2"/>
      <c r="G9" s="26"/>
      <c r="H9" s="2"/>
      <c r="I9" s="16"/>
      <c r="J9" s="2"/>
      <c r="K9" s="2"/>
    </row>
    <row r="11" spans="1:14">
      <c r="C11" t="s">
        <v>117</v>
      </c>
      <c r="D11" t="s">
        <v>189</v>
      </c>
    </row>
    <row r="12" spans="1:14">
      <c r="A12" t="s">
        <v>186</v>
      </c>
      <c r="B12" t="s">
        <v>187</v>
      </c>
      <c r="C12" s="11">
        <v>0.4</v>
      </c>
      <c r="D12">
        <v>0.2</v>
      </c>
    </row>
    <row r="13" spans="1:14">
      <c r="A13" t="s">
        <v>186</v>
      </c>
      <c r="B13" t="s">
        <v>230</v>
      </c>
      <c r="C13" s="11">
        <v>0.4</v>
      </c>
      <c r="D13">
        <v>1</v>
      </c>
    </row>
    <row r="14" spans="1:14">
      <c r="A14" t="s">
        <v>186</v>
      </c>
      <c r="B14" t="s">
        <v>231</v>
      </c>
      <c r="C14" s="11">
        <v>0.4</v>
      </c>
      <c r="D14">
        <v>1</v>
      </c>
    </row>
    <row r="15" spans="1:14">
      <c r="D15" s="2"/>
      <c r="F15" s="2"/>
      <c r="H15" s="16"/>
    </row>
    <row r="17" spans="2:8">
      <c r="B17" s="45" t="s">
        <v>215</v>
      </c>
      <c r="H17" s="46"/>
    </row>
    <row r="18" spans="2:8" ht="15.75" thickBot="1">
      <c r="B18" s="47" t="s">
        <v>216</v>
      </c>
      <c r="C18" s="47" t="s">
        <v>8</v>
      </c>
      <c r="D18" s="47" t="s">
        <v>217</v>
      </c>
      <c r="E18" s="47" t="s">
        <v>7</v>
      </c>
      <c r="F18" s="48" t="str">
        <f>IF(Regions!C$3&lt;&gt;"",Regions!C$3,"*")</f>
        <v>IE</v>
      </c>
      <c r="G18" s="48" t="str">
        <f>IF(Regions!C$3&lt;&gt;"",Regions!D$3,"*")</f>
        <v>National</v>
      </c>
      <c r="H18" s="49" t="s">
        <v>218</v>
      </c>
    </row>
    <row r="19" spans="2:8">
      <c r="D19" t="s">
        <v>219</v>
      </c>
      <c r="E19">
        <v>2018</v>
      </c>
      <c r="F19">
        <v>2222</v>
      </c>
      <c r="G19">
        <f>F19</f>
        <v>2222</v>
      </c>
      <c r="H19" t="s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Z31"/>
  <sheetViews>
    <sheetView zoomScaleNormal="100" workbookViewId="0">
      <selection activeCell="G27" sqref="G27"/>
    </sheetView>
  </sheetViews>
  <sheetFormatPr defaultRowHeight="1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26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26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" t="str">
        <f>"~UC_Sets: R_E: " &amp; _xlfn.TEXTJOIN(",",TRUE,Regions!O4:P4)</f>
        <v xml:space="preserve">~UC_Sets: R_E: 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  <c r="N4" s="1" t="s">
        <v>0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  <c r="N5" s="2"/>
      <c r="O5" s="2"/>
      <c r="P5" s="2"/>
      <c r="Q5" s="2"/>
      <c r="R5" s="2"/>
      <c r="S5" s="2"/>
      <c r="T5" s="2"/>
      <c r="U5" s="2" t="s">
        <v>16</v>
      </c>
      <c r="V5" s="2"/>
      <c r="W5" s="2"/>
      <c r="X5" s="2"/>
      <c r="Y5" s="2"/>
      <c r="Z5" s="2"/>
    </row>
    <row r="6" spans="1:26">
      <c r="B6" s="2" t="str">
        <f t="shared" ref="B6:B9" si="0">_xlfn.TEXTJOIN("_",TRUE,"UC",A14,"MaxGrowth",B14)</f>
        <v>UC_PWR_MaxGrowth_CCS</v>
      </c>
      <c r="C6" s="2" t="s">
        <v>13</v>
      </c>
      <c r="D6" s="2" t="s">
        <v>118</v>
      </c>
      <c r="E6" s="2">
        <v>2022</v>
      </c>
      <c r="F6" s="2" t="s">
        <v>15</v>
      </c>
      <c r="G6" s="26">
        <f t="shared" ref="G6:G9" si="1">1+$C14</f>
        <v>2</v>
      </c>
      <c r="H6" s="2">
        <v>1</v>
      </c>
      <c r="I6" s="16">
        <f t="shared" ref="I6:I11" si="2">-D14</f>
        <v>-0.8</v>
      </c>
      <c r="J6" s="2">
        <v>5</v>
      </c>
      <c r="K6" s="2" t="str">
        <f t="shared" ref="K6:K11" si="3">_xlfn.TEXTJOIN(" ",TRUE,A14, "maximum growth rate of",B14)</f>
        <v>PWR maximum growth rate of CCS</v>
      </c>
      <c r="N6" s="4" t="s">
        <v>1</v>
      </c>
      <c r="O6" s="14" t="s">
        <v>2</v>
      </c>
      <c r="P6" s="14" t="s">
        <v>3</v>
      </c>
      <c r="Q6" s="14" t="s">
        <v>4</v>
      </c>
      <c r="R6" s="14" t="s">
        <v>5</v>
      </c>
      <c r="S6" s="14" t="s">
        <v>6</v>
      </c>
      <c r="T6" s="15" t="s">
        <v>7</v>
      </c>
      <c r="U6" s="15" t="s">
        <v>8</v>
      </c>
      <c r="V6" s="4" t="s">
        <v>145</v>
      </c>
      <c r="W6" s="4" t="s">
        <v>146</v>
      </c>
      <c r="X6" s="4" t="s">
        <v>182</v>
      </c>
      <c r="Y6" s="4" t="s">
        <v>11</v>
      </c>
      <c r="Z6" s="4" t="s">
        <v>12</v>
      </c>
    </row>
    <row r="7" spans="1:26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  <c r="N7" s="2" t="s">
        <v>238</v>
      </c>
      <c r="O7" s="2" t="s">
        <v>144</v>
      </c>
      <c r="P7" s="2"/>
      <c r="R7" s="2" t="s">
        <v>239</v>
      </c>
      <c r="S7" s="2" t="s">
        <v>142</v>
      </c>
      <c r="T7" s="2">
        <v>2022</v>
      </c>
      <c r="U7" s="2" t="s">
        <v>185</v>
      </c>
      <c r="V7" s="26">
        <v>1</v>
      </c>
      <c r="W7" s="2">
        <v>1</v>
      </c>
      <c r="X7" s="16">
        <v>0</v>
      </c>
      <c r="Y7" s="2">
        <v>5</v>
      </c>
      <c r="Z7" s="2" t="s">
        <v>240</v>
      </c>
    </row>
    <row r="8" spans="1:26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26">
      <c r="B9" s="2" t="str">
        <f t="shared" si="0"/>
        <v>UC_PWR_MaxGrowth_H2GT</v>
      </c>
      <c r="C9" s="2" t="s">
        <v>13</v>
      </c>
      <c r="D9" s="2" t="s">
        <v>143</v>
      </c>
      <c r="E9" s="2">
        <v>2022</v>
      </c>
      <c r="F9" s="2" t="s">
        <v>15</v>
      </c>
      <c r="G9" s="26">
        <f t="shared" si="1"/>
        <v>1.75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26">
      <c r="B10" s="2" t="str">
        <f t="shared" ref="B10:B11" si="4">_xlfn.TEXTJOIN("_",TRUE,"UC",A18,"MaxGrowth",B18)</f>
        <v>UC_PWR_MaxGrowth_PV</v>
      </c>
      <c r="C10" s="2" t="s">
        <v>13</v>
      </c>
      <c r="D10" s="2" t="s">
        <v>158</v>
      </c>
      <c r="E10" s="2">
        <v>2022</v>
      </c>
      <c r="F10" s="2" t="s">
        <v>15</v>
      </c>
      <c r="G10" s="26">
        <f t="shared" ref="G10:G11" si="5">1+$C18</f>
        <v>2</v>
      </c>
      <c r="H10" s="2">
        <v>1</v>
      </c>
      <c r="I10" s="16">
        <f t="shared" si="2"/>
        <v>-1</v>
      </c>
      <c r="J10" s="2">
        <v>5</v>
      </c>
      <c r="K10" s="2" t="str">
        <f t="shared" si="3"/>
        <v>PWR maximum growth rate of PV</v>
      </c>
    </row>
    <row r="11" spans="1:26">
      <c r="B11" s="2" t="str">
        <f t="shared" si="4"/>
        <v>UC_PWR_MaxGrowth_CSP</v>
      </c>
      <c r="C11" s="2" t="s">
        <v>13</v>
      </c>
      <c r="D11" s="2" t="s">
        <v>159</v>
      </c>
      <c r="E11" s="2">
        <v>2022</v>
      </c>
      <c r="F11" s="2" t="s">
        <v>15</v>
      </c>
      <c r="G11" s="26">
        <f t="shared" si="5"/>
        <v>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3" spans="1:26">
      <c r="C13" t="s">
        <v>117</v>
      </c>
      <c r="D13" t="s">
        <v>119</v>
      </c>
    </row>
    <row r="14" spans="1:26">
      <c r="A14" t="s">
        <v>128</v>
      </c>
      <c r="B14" t="s">
        <v>124</v>
      </c>
      <c r="C14" s="56">
        <v>1</v>
      </c>
      <c r="D14" s="57">
        <v>0.8</v>
      </c>
    </row>
    <row r="15" spans="1:26">
      <c r="A15" t="s">
        <v>128</v>
      </c>
      <c r="B15" t="s">
        <v>125</v>
      </c>
      <c r="C15" s="11">
        <v>0.2</v>
      </c>
      <c r="D15">
        <v>0.4</v>
      </c>
    </row>
    <row r="16" spans="1:26">
      <c r="A16" t="s">
        <v>128</v>
      </c>
      <c r="B16" t="s">
        <v>126</v>
      </c>
      <c r="C16" s="11">
        <v>0.2</v>
      </c>
      <c r="D16">
        <v>0.1</v>
      </c>
    </row>
    <row r="17" spans="1:11">
      <c r="A17" t="s">
        <v>128</v>
      </c>
      <c r="B17" t="s">
        <v>160</v>
      </c>
      <c r="C17" s="56">
        <v>0.75</v>
      </c>
      <c r="D17">
        <v>0.5</v>
      </c>
    </row>
    <row r="18" spans="1:11">
      <c r="A18" t="s">
        <v>128</v>
      </c>
      <c r="B18" t="s">
        <v>156</v>
      </c>
      <c r="C18" s="58">
        <v>1</v>
      </c>
      <c r="D18" s="57">
        <v>1</v>
      </c>
    </row>
    <row r="19" spans="1:11">
      <c r="A19" t="s">
        <v>128</v>
      </c>
      <c r="B19" t="s">
        <v>157</v>
      </c>
      <c r="C19" s="56">
        <v>1</v>
      </c>
      <c r="D19">
        <v>0.5</v>
      </c>
    </row>
    <row r="22" spans="1:11">
      <c r="B22" s="2"/>
      <c r="C22" s="2"/>
      <c r="D22" s="2"/>
      <c r="E22" s="2"/>
      <c r="F22" s="2" t="s">
        <v>16</v>
      </c>
      <c r="G22" s="2"/>
      <c r="H22" s="2"/>
      <c r="I22" s="2"/>
      <c r="J22" s="2"/>
      <c r="K22" s="2"/>
    </row>
    <row r="23" spans="1:11">
      <c r="B23" s="4" t="s">
        <v>1</v>
      </c>
      <c r="C23" s="14" t="s">
        <v>2</v>
      </c>
      <c r="D23" s="14" t="s">
        <v>6</v>
      </c>
      <c r="E23" s="15" t="s">
        <v>7</v>
      </c>
      <c r="F23" s="15" t="s">
        <v>8</v>
      </c>
      <c r="G23" s="4" t="s">
        <v>181</v>
      </c>
      <c r="H23" s="4" t="s">
        <v>182</v>
      </c>
      <c r="I23" s="4" t="s">
        <v>11</v>
      </c>
      <c r="J23" s="4" t="s">
        <v>12</v>
      </c>
    </row>
    <row r="24" spans="1:11">
      <c r="B24" s="2" t="s">
        <v>179</v>
      </c>
      <c r="C24" s="2"/>
      <c r="D24" s="2" t="s">
        <v>154</v>
      </c>
      <c r="E24" s="2">
        <v>2019</v>
      </c>
      <c r="F24" s="2" t="s">
        <v>185</v>
      </c>
      <c r="G24" s="26">
        <f>1+$C30</f>
        <v>1</v>
      </c>
      <c r="H24" s="16">
        <v>0.6</v>
      </c>
      <c r="I24" s="2">
        <v>3</v>
      </c>
      <c r="J24" s="2" t="s">
        <v>183</v>
      </c>
    </row>
    <row r="25" spans="1:11">
      <c r="B25" s="2"/>
      <c r="C25" s="2"/>
      <c r="D25" s="2" t="s">
        <v>154</v>
      </c>
      <c r="E25" s="2">
        <v>2020</v>
      </c>
      <c r="F25" s="2" t="s">
        <v>185</v>
      </c>
      <c r="G25" s="26">
        <f>1+$C31</f>
        <v>1</v>
      </c>
      <c r="H25" s="16">
        <v>0.5</v>
      </c>
      <c r="I25" s="2"/>
      <c r="J25" s="2"/>
    </row>
    <row r="26" spans="1:11">
      <c r="B26" s="2"/>
      <c r="C26" s="2"/>
      <c r="D26" s="2" t="s">
        <v>154</v>
      </c>
      <c r="E26" s="2">
        <v>2024</v>
      </c>
      <c r="F26" s="2" t="s">
        <v>185</v>
      </c>
      <c r="G26" s="26">
        <v>1</v>
      </c>
      <c r="H26" s="16">
        <v>1</v>
      </c>
      <c r="I26" s="2"/>
      <c r="J26" s="2"/>
    </row>
    <row r="27" spans="1:11">
      <c r="B27" s="2" t="s">
        <v>180</v>
      </c>
      <c r="C27" s="2"/>
      <c r="D27" s="2" t="s">
        <v>155</v>
      </c>
      <c r="E27">
        <v>2026</v>
      </c>
      <c r="F27" s="2" t="s">
        <v>185</v>
      </c>
      <c r="G27" s="26">
        <f>1+$C31</f>
        <v>1</v>
      </c>
      <c r="H27" s="16">
        <v>0.8</v>
      </c>
      <c r="I27" s="2">
        <v>3</v>
      </c>
      <c r="J27" s="2" t="s">
        <v>184</v>
      </c>
    </row>
    <row r="28" spans="1:11">
      <c r="D28" s="2" t="s">
        <v>155</v>
      </c>
      <c r="E28">
        <v>2027</v>
      </c>
      <c r="F28" s="2" t="s">
        <v>185</v>
      </c>
      <c r="G28" s="26">
        <f t="shared" ref="G28:G31" si="6">1+$C32</f>
        <v>1</v>
      </c>
      <c r="H28" s="16">
        <v>1</v>
      </c>
    </row>
    <row r="29" spans="1:11">
      <c r="D29" s="2" t="s">
        <v>155</v>
      </c>
      <c r="E29">
        <v>2028</v>
      </c>
      <c r="F29" s="2" t="s">
        <v>185</v>
      </c>
      <c r="G29" s="26">
        <f t="shared" si="6"/>
        <v>1</v>
      </c>
      <c r="H29" s="16">
        <v>1.5</v>
      </c>
    </row>
    <row r="30" spans="1:11">
      <c r="D30" s="2" t="s">
        <v>155</v>
      </c>
      <c r="E30">
        <v>2029</v>
      </c>
      <c r="F30" s="2" t="s">
        <v>185</v>
      </c>
      <c r="G30" s="26">
        <f t="shared" si="6"/>
        <v>1</v>
      </c>
      <c r="H30" s="16">
        <v>1.5</v>
      </c>
    </row>
    <row r="31" spans="1:11">
      <c r="D31" s="2" t="s">
        <v>155</v>
      </c>
      <c r="E31">
        <v>2030</v>
      </c>
      <c r="F31" s="2" t="s">
        <v>185</v>
      </c>
      <c r="G31" s="26">
        <f t="shared" si="6"/>
        <v>1</v>
      </c>
      <c r="H31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tabSelected="1" zoomScaleNormal="100" workbookViewId="0">
      <selection activeCell="D29" sqref="D29"/>
    </sheetView>
  </sheetViews>
  <sheetFormatPr defaultRowHeight="15"/>
  <cols>
    <col min="2" max="2" width="32.7109375" bestFit="1" customWidth="1"/>
    <col min="3" max="3" width="15.5703125" bestFit="1" customWidth="1"/>
    <col min="4" max="4" width="18.42578125" bestFit="1" customWidth="1"/>
    <col min="6" max="6" width="18.7109375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>
      <c r="B6" s="2" t="str">
        <f>_xlfn.TEXTJOIN("_",TRUE,"UC",A21,"MaxGrowth",B21)</f>
        <v>UC_RSD_MaxGrowth_AmbientHeat</v>
      </c>
      <c r="C6" s="2" t="s">
        <v>144</v>
      </c>
      <c r="D6" s="2"/>
      <c r="F6" s="2" t="s">
        <v>221</v>
      </c>
      <c r="G6" s="2" t="s">
        <v>142</v>
      </c>
      <c r="H6" s="2">
        <v>2022</v>
      </c>
      <c r="I6" s="2" t="s">
        <v>15</v>
      </c>
      <c r="J6" s="29">
        <f>1+C21</f>
        <v>1.4</v>
      </c>
      <c r="K6" s="2">
        <v>1</v>
      </c>
      <c r="L6" s="16">
        <f>-D21</f>
        <v>-3</v>
      </c>
      <c r="M6" s="2">
        <v>5</v>
      </c>
      <c r="N6" s="2" t="str">
        <f>_xlfn.TEXTJOIN(" ",TRUE,A22, "maximum growth rate of",B21)</f>
        <v>RSD maximum growth rate of AmbientHeat</v>
      </c>
    </row>
    <row r="7" spans="2:14">
      <c r="B7" s="2" t="str">
        <f t="shared" ref="B7:B17" si="0">_xlfn.TEXTJOIN("_",TRUE,"UC",A22,"MaxGrowth",B22)</f>
        <v>UC_RSD_MaxGrowth_Biodiesel</v>
      </c>
      <c r="C7" s="2" t="s">
        <v>144</v>
      </c>
      <c r="D7" s="2"/>
      <c r="F7" t="s">
        <v>196</v>
      </c>
      <c r="G7" s="2" t="s">
        <v>142</v>
      </c>
      <c r="H7" s="2">
        <v>2022</v>
      </c>
      <c r="I7" s="2" t="s">
        <v>15</v>
      </c>
      <c r="J7" s="29">
        <f t="shared" ref="J7:J8" si="1">1+C22</f>
        <v>1.1000000000000001</v>
      </c>
      <c r="K7" s="2">
        <v>1</v>
      </c>
      <c r="L7" s="16">
        <f t="shared" ref="L7:L8" si="2">-D22</f>
        <v>-0.5</v>
      </c>
      <c r="M7" s="2">
        <v>5</v>
      </c>
      <c r="N7" s="2" t="str">
        <f>_xlfn.TEXTJOIN(" ",TRUE,A23, "maximum growth rate of",B23)</f>
        <v>RSD maximum growth rate of Biomass</v>
      </c>
    </row>
    <row r="8" spans="2:14">
      <c r="B8" s="2" t="str">
        <f t="shared" si="0"/>
        <v>UC_RSD_MaxGrowth_Biomass</v>
      </c>
      <c r="C8" s="2" t="s">
        <v>144</v>
      </c>
      <c r="D8" s="2"/>
      <c r="F8" t="s">
        <v>205</v>
      </c>
      <c r="G8" s="2" t="s">
        <v>142</v>
      </c>
      <c r="H8" s="2">
        <v>2022</v>
      </c>
      <c r="I8" s="2" t="s">
        <v>15</v>
      </c>
      <c r="J8" s="29">
        <f t="shared" si="1"/>
        <v>1.01</v>
      </c>
      <c r="K8" s="2">
        <v>1</v>
      </c>
      <c r="L8" s="16">
        <f t="shared" si="2"/>
        <v>-0.5</v>
      </c>
      <c r="M8" s="2">
        <v>5</v>
      </c>
      <c r="N8" s="2" t="str">
        <f>_xlfn.TEXTJOIN(" ",TRUE,A23, "maximum growth rate of",B23)</f>
        <v>RSD maximum growth rate of Biomass</v>
      </c>
    </row>
    <row r="9" spans="2:14">
      <c r="B9" s="2" t="str">
        <f t="shared" si="0"/>
        <v>UC_RSD_MaxGrowth_Coal</v>
      </c>
      <c r="C9" s="2" t="s">
        <v>144</v>
      </c>
      <c r="D9" s="2"/>
      <c r="F9" t="s">
        <v>206</v>
      </c>
      <c r="G9" s="2" t="s">
        <v>142</v>
      </c>
      <c r="H9" s="2">
        <v>2022</v>
      </c>
      <c r="I9" s="2" t="s">
        <v>15</v>
      </c>
      <c r="J9" s="29">
        <f>1+C24</f>
        <v>0.99</v>
      </c>
      <c r="K9" s="2">
        <v>1</v>
      </c>
      <c r="L9" s="16">
        <f>-D24</f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>
      <c r="B10" s="2" t="str">
        <f t="shared" si="0"/>
        <v>UC_RSD_MaxGrowth_Peat</v>
      </c>
      <c r="C10" s="2" t="s">
        <v>144</v>
      </c>
      <c r="D10" s="2"/>
      <c r="F10" t="s">
        <v>207</v>
      </c>
      <c r="G10" s="2" t="s">
        <v>142</v>
      </c>
      <c r="H10" s="2">
        <v>2022</v>
      </c>
      <c r="I10" s="2" t="s">
        <v>15</v>
      </c>
      <c r="J10" s="29">
        <f>1+C25</f>
        <v>0.99</v>
      </c>
      <c r="K10" s="2">
        <v>1</v>
      </c>
      <c r="L10" s="16">
        <f>-D25</f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>
      <c r="B11" s="2" t="str">
        <f t="shared" si="0"/>
        <v>UC_RSD_MaxGrowth_Electricity</v>
      </c>
      <c r="C11" s="2" t="s">
        <v>144</v>
      </c>
      <c r="D11" s="2"/>
      <c r="F11" t="s">
        <v>208</v>
      </c>
      <c r="G11" s="2" t="s">
        <v>142</v>
      </c>
      <c r="H11" s="2">
        <v>2022</v>
      </c>
      <c r="I11" s="2" t="s">
        <v>15</v>
      </c>
      <c r="J11" s="29">
        <f>1+C26</f>
        <v>1.1000000000000001</v>
      </c>
      <c r="K11" s="2">
        <v>1</v>
      </c>
      <c r="L11" s="16">
        <f>-D26</f>
        <v>-32</v>
      </c>
      <c r="M11" s="2">
        <v>5</v>
      </c>
      <c r="N11" s="2" t="str">
        <f>_xlfn.TEXTJOIN(" ",TRUE,A26, "maximum growth rate of",B26)</f>
        <v>RSD maximum growth rate of Electricity</v>
      </c>
    </row>
    <row r="12" spans="2:14">
      <c r="B12" s="2" t="str">
        <f t="shared" si="0"/>
        <v>UC_RSD_MaxGrowth_Ethanol</v>
      </c>
      <c r="C12" s="2" t="s">
        <v>144</v>
      </c>
      <c r="D12" s="2"/>
      <c r="F12" t="s">
        <v>209</v>
      </c>
      <c r="G12" s="2" t="s">
        <v>142</v>
      </c>
      <c r="H12" s="2">
        <v>2022</v>
      </c>
      <c r="I12" s="2" t="s">
        <v>15</v>
      </c>
      <c r="J12" s="29">
        <f t="shared" ref="J12:J17" si="3">1+C27</f>
        <v>1.1000000000000001</v>
      </c>
      <c r="K12" s="2">
        <v>1</v>
      </c>
      <c r="L12" s="16">
        <f t="shared" ref="L12:L17" si="4">-D27</f>
        <v>-0.5</v>
      </c>
      <c r="M12" s="2">
        <v>5</v>
      </c>
      <c r="N12" s="2" t="str">
        <f t="shared" ref="N12:N17" si="5">_xlfn.TEXTJOIN(" ",TRUE,A27, "maximum growth rate of",B27)</f>
        <v>RSD maximum growth rate of Ethanol</v>
      </c>
    </row>
    <row r="13" spans="2:14">
      <c r="B13" s="2" t="str">
        <f t="shared" si="0"/>
        <v>UC_RSD_MaxGrowth_Gas</v>
      </c>
      <c r="C13" s="2" t="s">
        <v>144</v>
      </c>
      <c r="D13" s="2"/>
      <c r="F13" t="s">
        <v>210</v>
      </c>
      <c r="G13" s="2" t="s">
        <v>142</v>
      </c>
      <c r="H13" s="2">
        <v>2022</v>
      </c>
      <c r="I13" s="2" t="s">
        <v>15</v>
      </c>
      <c r="J13" s="29">
        <f t="shared" si="3"/>
        <v>1.1000000000000001</v>
      </c>
      <c r="K13" s="2">
        <v>1</v>
      </c>
      <c r="L13" s="16">
        <f t="shared" si="4"/>
        <v>-0.5</v>
      </c>
      <c r="M13" s="2">
        <v>5</v>
      </c>
      <c r="N13" s="2" t="str">
        <f t="shared" si="5"/>
        <v>RSD maximum growth rate of Gas</v>
      </c>
    </row>
    <row r="14" spans="2:14">
      <c r="B14" s="2" t="str">
        <f t="shared" si="0"/>
        <v>UC_RSD_MaxGrowth_DistrictHeat</v>
      </c>
      <c r="C14" s="2" t="s">
        <v>144</v>
      </c>
      <c r="D14" s="2"/>
      <c r="F14" t="s">
        <v>211</v>
      </c>
      <c r="G14" s="2" t="s">
        <v>142</v>
      </c>
      <c r="H14" s="2">
        <v>2022</v>
      </c>
      <c r="I14" s="2" t="s">
        <v>15</v>
      </c>
      <c r="J14" s="29">
        <f t="shared" si="3"/>
        <v>1.4</v>
      </c>
      <c r="K14" s="2">
        <v>1</v>
      </c>
      <c r="L14" s="16">
        <f t="shared" si="4"/>
        <v>-1</v>
      </c>
      <c r="M14" s="2">
        <v>5</v>
      </c>
      <c r="N14" s="2" t="str">
        <f t="shared" si="5"/>
        <v>RSD maximum growth rate of DistrictHeat</v>
      </c>
    </row>
    <row r="15" spans="2:14">
      <c r="B15" s="2" t="str">
        <f t="shared" si="0"/>
        <v>UC_RSD_MaxGrowth_LPG</v>
      </c>
      <c r="C15" s="2" t="s">
        <v>144</v>
      </c>
      <c r="D15" s="2"/>
      <c r="F15" t="s">
        <v>212</v>
      </c>
      <c r="G15" s="2" t="s">
        <v>142</v>
      </c>
      <c r="H15" s="2">
        <v>2022</v>
      </c>
      <c r="I15" s="2" t="s">
        <v>15</v>
      </c>
      <c r="J15" s="29">
        <f t="shared" si="3"/>
        <v>1.01</v>
      </c>
      <c r="K15" s="2">
        <v>1</v>
      </c>
      <c r="L15" s="16">
        <f t="shared" si="4"/>
        <v>-0.5</v>
      </c>
      <c r="M15" s="2">
        <v>5</v>
      </c>
      <c r="N15" s="2" t="str">
        <f t="shared" si="5"/>
        <v>RSD maximum growth rate of LPG</v>
      </c>
    </row>
    <row r="16" spans="2:14">
      <c r="B16" s="2" t="str">
        <f t="shared" si="0"/>
        <v>UC_RSD_MaxGrowth_Kerosene</v>
      </c>
      <c r="C16" s="2" t="s">
        <v>144</v>
      </c>
      <c r="D16" s="2"/>
      <c r="F16" t="s">
        <v>213</v>
      </c>
      <c r="G16" s="2" t="s">
        <v>142</v>
      </c>
      <c r="H16" s="2">
        <v>2022</v>
      </c>
      <c r="I16" s="2" t="s">
        <v>15</v>
      </c>
      <c r="J16" s="29">
        <f t="shared" si="3"/>
        <v>1.01</v>
      </c>
      <c r="K16" s="2">
        <v>1</v>
      </c>
      <c r="L16" s="16">
        <f t="shared" si="4"/>
        <v>-0.5</v>
      </c>
      <c r="M16" s="2">
        <v>5</v>
      </c>
      <c r="N16" s="2" t="str">
        <f t="shared" si="5"/>
        <v>RSD maximum growth rate of Kerosene</v>
      </c>
    </row>
    <row r="17" spans="1:14">
      <c r="B17" s="2" t="str">
        <f t="shared" si="0"/>
        <v>UC_RSD_MaxGrowth_Solar</v>
      </c>
      <c r="C17" s="2" t="s">
        <v>144</v>
      </c>
      <c r="D17" s="2"/>
      <c r="F17" t="s">
        <v>214</v>
      </c>
      <c r="G17" s="2" t="s">
        <v>142</v>
      </c>
      <c r="H17" s="2">
        <v>2022</v>
      </c>
      <c r="I17" s="2" t="s">
        <v>15</v>
      </c>
      <c r="J17" s="29">
        <f t="shared" si="3"/>
        <v>1.4</v>
      </c>
      <c r="K17" s="2">
        <v>1</v>
      </c>
      <c r="L17" s="16">
        <f t="shared" si="4"/>
        <v>-0.5</v>
      </c>
      <c r="M17" s="2">
        <v>5</v>
      </c>
      <c r="N17" s="2" t="str">
        <f t="shared" si="5"/>
        <v>RSD maximum growth rate of Solar</v>
      </c>
    </row>
    <row r="18" spans="1:14">
      <c r="B18" s="2"/>
      <c r="C18" s="2"/>
      <c r="D18" s="2"/>
      <c r="F18" s="2"/>
      <c r="G18" s="2"/>
      <c r="I18" s="2"/>
      <c r="J18" s="29"/>
      <c r="K18" s="2"/>
      <c r="L18" s="16"/>
      <c r="M18" s="2"/>
      <c r="N18" s="2"/>
    </row>
    <row r="20" spans="1:14">
      <c r="C20" t="s">
        <v>117</v>
      </c>
      <c r="D20" t="s">
        <v>189</v>
      </c>
    </row>
    <row r="21" spans="1:14">
      <c r="A21" t="s">
        <v>195</v>
      </c>
      <c r="B21" t="s">
        <v>190</v>
      </c>
      <c r="C21" s="11">
        <v>0.4</v>
      </c>
      <c r="D21">
        <v>3</v>
      </c>
    </row>
    <row r="22" spans="1:14">
      <c r="A22" t="s">
        <v>195</v>
      </c>
      <c r="B22" t="s">
        <v>197</v>
      </c>
      <c r="C22" s="11">
        <v>0.1</v>
      </c>
      <c r="D22">
        <v>0.5</v>
      </c>
    </row>
    <row r="23" spans="1:14">
      <c r="A23" t="s">
        <v>195</v>
      </c>
      <c r="B23" t="s">
        <v>137</v>
      </c>
      <c r="C23" s="56">
        <v>0.01</v>
      </c>
      <c r="D23">
        <v>0.5</v>
      </c>
    </row>
    <row r="24" spans="1:14">
      <c r="A24" t="s">
        <v>195</v>
      </c>
      <c r="B24" t="s">
        <v>198</v>
      </c>
      <c r="C24" s="56">
        <v>-0.01</v>
      </c>
      <c r="D24">
        <v>0</v>
      </c>
    </row>
    <row r="25" spans="1:14">
      <c r="A25" t="s">
        <v>195</v>
      </c>
      <c r="B25" t="s">
        <v>199</v>
      </c>
      <c r="C25" s="56">
        <v>-0.01</v>
      </c>
      <c r="D25">
        <v>0</v>
      </c>
    </row>
    <row r="26" spans="1:14">
      <c r="A26" t="s">
        <v>195</v>
      </c>
      <c r="B26" t="s">
        <v>200</v>
      </c>
      <c r="C26" s="11">
        <v>0.1</v>
      </c>
      <c r="D26">
        <v>32</v>
      </c>
    </row>
    <row r="27" spans="1:14">
      <c r="A27" t="s">
        <v>195</v>
      </c>
      <c r="B27" t="s">
        <v>201</v>
      </c>
      <c r="C27" s="11">
        <v>0.1</v>
      </c>
      <c r="D27">
        <v>0.5</v>
      </c>
    </row>
    <row r="28" spans="1:14">
      <c r="A28" t="s">
        <v>195</v>
      </c>
      <c r="B28" t="s">
        <v>193</v>
      </c>
      <c r="C28" s="11">
        <v>0.1</v>
      </c>
      <c r="D28">
        <v>0.5</v>
      </c>
    </row>
    <row r="29" spans="1:14">
      <c r="A29" t="s">
        <v>195</v>
      </c>
      <c r="B29" t="s">
        <v>191</v>
      </c>
      <c r="C29" s="11">
        <v>0.4</v>
      </c>
      <c r="D29">
        <v>1</v>
      </c>
    </row>
    <row r="30" spans="1:14">
      <c r="A30" t="s">
        <v>195</v>
      </c>
      <c r="B30" t="s">
        <v>202</v>
      </c>
      <c r="C30" s="56">
        <v>0.01</v>
      </c>
      <c r="D30">
        <v>0.5</v>
      </c>
    </row>
    <row r="31" spans="1:14">
      <c r="A31" t="s">
        <v>195</v>
      </c>
      <c r="B31" t="s">
        <v>203</v>
      </c>
      <c r="C31" s="56">
        <v>0.01</v>
      </c>
      <c r="D31">
        <v>0.5</v>
      </c>
    </row>
    <row r="32" spans="1:14">
      <c r="A32" t="s">
        <v>195</v>
      </c>
      <c r="B32" t="s">
        <v>204</v>
      </c>
      <c r="C32" s="11">
        <v>0.4</v>
      </c>
      <c r="D32">
        <v>0.5</v>
      </c>
    </row>
    <row r="35" spans="2:8">
      <c r="B35" s="45" t="s">
        <v>241</v>
      </c>
      <c r="H35" s="46"/>
    </row>
    <row r="36" spans="2:8" ht="15.75" thickBot="1">
      <c r="B36" s="47" t="s">
        <v>216</v>
      </c>
      <c r="C36" s="47" t="s">
        <v>8</v>
      </c>
      <c r="D36" s="47" t="s">
        <v>217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218</v>
      </c>
    </row>
    <row r="37" spans="2:8">
      <c r="D37" t="s">
        <v>219</v>
      </c>
      <c r="E37">
        <v>2018</v>
      </c>
      <c r="F37">
        <v>2222</v>
      </c>
      <c r="G37">
        <f>F37</f>
        <v>2222</v>
      </c>
      <c r="H37" t="str">
        <f xml:space="preserve"> _xlfn.TEXTJOIN(",",TRUE,F6:F17)</f>
        <v>RSDAHT,RSDAHT2,RSDBDL,RSDWOO,RSDCOA,RSDPEA,RSDELC,RSDETH,RSDGAS,RSDHET,RSDLPG,RSDKER,RSDSOL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4"/>
  <sheetViews>
    <sheetView zoomScaleNormal="100" workbookViewId="0">
      <selection activeCell="C14" sqref="C14"/>
    </sheetView>
  </sheetViews>
  <sheetFormatPr defaultRowHeight="1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>
      <c r="B6" s="2" t="str">
        <f>_xlfn.TEXTJOIN("_",TRUE,"UC",A14,"MaxGrowth",B14)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2022</v>
      </c>
      <c r="I6" s="2" t="s">
        <v>15</v>
      </c>
      <c r="J6" s="29">
        <f>1+C14</f>
        <v>1.05</v>
      </c>
      <c r="K6" s="2">
        <v>1</v>
      </c>
      <c r="L6" s="16">
        <f>-D14</f>
        <v>-0.3</v>
      </c>
      <c r="M6" s="2">
        <v>5</v>
      </c>
      <c r="N6" s="2" t="str">
        <f>_xlfn.TEXTJOIN(" ",TRUE,A14, "maximum growth rate of",B14)</f>
        <v>SRV maximum growth rate of Biomass</v>
      </c>
    </row>
    <row r="7" spans="1:14">
      <c r="B7" s="2" t="str">
        <f>_xlfn.TEXTJOIN("_",TRUE,"UC",A15,"MaxGrowth",B15)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2022</v>
      </c>
      <c r="I7" s="2" t="s">
        <v>15</v>
      </c>
      <c r="J7" s="29">
        <f>1+C15</f>
        <v>1.05</v>
      </c>
      <c r="K7" s="2">
        <v>1</v>
      </c>
      <c r="L7" s="16">
        <f>-D15</f>
        <v>-0.3</v>
      </c>
      <c r="M7" s="2">
        <v>5</v>
      </c>
      <c r="N7" s="2" t="str">
        <f>_xlfn.TEXTJOIN(" ",TRUE,A15, "maximum growth rate of",B15)</f>
        <v>SRV maximum growth rate of Biogas</v>
      </c>
    </row>
    <row r="8" spans="1:14">
      <c r="B8" s="2" t="str">
        <f>_xlfn.TEXTJOIN("_",TRUE,"UC",A16,"MaxGrowth",B16)</f>
        <v>UC_SRV_MaxGrowth_AmbientHeat</v>
      </c>
      <c r="C8" s="2" t="s">
        <v>144</v>
      </c>
      <c r="D8" s="2"/>
      <c r="F8" s="2" t="s">
        <v>220</v>
      </c>
      <c r="G8" s="2" t="s">
        <v>142</v>
      </c>
      <c r="H8" s="2">
        <v>2022</v>
      </c>
      <c r="I8" s="2" t="s">
        <v>15</v>
      </c>
      <c r="J8" s="29">
        <f>1+C16</f>
        <v>1.5</v>
      </c>
      <c r="K8" s="2">
        <v>1</v>
      </c>
      <c r="L8" s="16">
        <f>-D16</f>
        <v>-0.8</v>
      </c>
      <c r="M8" s="2">
        <v>5</v>
      </c>
      <c r="N8" s="2" t="str">
        <f>_xlfn.TEXTJOIN(" ",TRUE,A16, "maximum growth rate of",B16)</f>
        <v>SRV maximum growth rate of AmbientHeat</v>
      </c>
    </row>
    <row r="9" spans="1:14">
      <c r="B9" s="2" t="str">
        <f>_xlfn.TEXTJOIN("_",TRUE,"UC",A17,"MaxGrowth",B17)</f>
        <v>UC_SRV_MaxGrowth_DistrictHeat</v>
      </c>
      <c r="C9" s="2" t="s">
        <v>144</v>
      </c>
      <c r="D9" s="2"/>
      <c r="F9" s="2" t="s">
        <v>192</v>
      </c>
      <c r="G9" s="2" t="s">
        <v>142</v>
      </c>
      <c r="H9" s="2">
        <v>2022</v>
      </c>
      <c r="I9" s="2" t="s">
        <v>15</v>
      </c>
      <c r="J9" s="29">
        <f>1+C17</f>
        <v>1.25</v>
      </c>
      <c r="K9" s="2">
        <v>1</v>
      </c>
      <c r="L9" s="16">
        <f>-D17</f>
        <v>-1</v>
      </c>
      <c r="M9" s="2">
        <v>5</v>
      </c>
      <c r="N9" s="2" t="str">
        <f>_xlfn.TEXTJOIN(" ",TRUE,A17, "maximum growth rate of",B17)</f>
        <v>SRV maximum growth rate of DistrictHeat</v>
      </c>
    </row>
    <row r="10" spans="1:14">
      <c r="B10" s="2" t="str">
        <f>_xlfn.TEXTJOIN("_",TRUE,"UC",A18,"MaxGrowth",B18)</f>
        <v>UC_SRV_MaxGrowth_Gas</v>
      </c>
      <c r="C10" s="2" t="s">
        <v>144</v>
      </c>
      <c r="D10" s="2"/>
      <c r="F10" s="2" t="s">
        <v>194</v>
      </c>
      <c r="G10" s="2" t="s">
        <v>142</v>
      </c>
      <c r="H10" s="2">
        <v>2022</v>
      </c>
      <c r="I10" s="2" t="s">
        <v>15</v>
      </c>
      <c r="J10" s="29">
        <f>1+C18</f>
        <v>1.08</v>
      </c>
      <c r="K10" s="2">
        <v>1</v>
      </c>
      <c r="L10" s="16">
        <f>-D18</f>
        <v>-0.5</v>
      </c>
      <c r="M10" s="2">
        <v>5</v>
      </c>
      <c r="N10" s="2" t="str">
        <f>_xlfn.TEXTJOIN(" ",TRUE,A18, "maximum growth rate of",B18)</f>
        <v>SRV maximum growth rate of Gas</v>
      </c>
    </row>
    <row r="11" spans="1:14">
      <c r="B11" s="2"/>
      <c r="C11" s="2"/>
      <c r="D11" s="2"/>
      <c r="F11" s="2"/>
      <c r="G11" s="2"/>
      <c r="H11" s="2"/>
      <c r="I11" s="2"/>
      <c r="J11" s="29"/>
      <c r="K11" s="2"/>
      <c r="L11" s="16"/>
      <c r="M11" s="2"/>
      <c r="N11" s="2"/>
    </row>
    <row r="13" spans="1:14">
      <c r="C13" t="s">
        <v>117</v>
      </c>
      <c r="D13" t="s">
        <v>189</v>
      </c>
    </row>
    <row r="14" spans="1:14">
      <c r="A14" t="s">
        <v>139</v>
      </c>
      <c r="B14" t="s">
        <v>137</v>
      </c>
      <c r="C14" s="11">
        <v>0.05</v>
      </c>
      <c r="D14">
        <v>0.3</v>
      </c>
    </row>
    <row r="15" spans="1:14">
      <c r="A15" t="s">
        <v>139</v>
      </c>
      <c r="B15" t="s">
        <v>138</v>
      </c>
      <c r="C15" s="11">
        <v>0.05</v>
      </c>
      <c r="D15">
        <v>0.3</v>
      </c>
    </row>
    <row r="16" spans="1:14">
      <c r="A16" t="s">
        <v>139</v>
      </c>
      <c r="B16" t="s">
        <v>190</v>
      </c>
      <c r="C16" s="56">
        <v>0.5</v>
      </c>
      <c r="D16" s="57">
        <v>0.8</v>
      </c>
    </row>
    <row r="17" spans="1:8">
      <c r="A17" t="s">
        <v>139</v>
      </c>
      <c r="B17" t="s">
        <v>191</v>
      </c>
      <c r="C17" s="56">
        <v>0.25</v>
      </c>
      <c r="D17" s="57">
        <v>1</v>
      </c>
    </row>
    <row r="18" spans="1:8">
      <c r="A18" t="s">
        <v>139</v>
      </c>
      <c r="B18" t="s">
        <v>193</v>
      </c>
      <c r="C18" s="11">
        <v>0.08</v>
      </c>
      <c r="D18">
        <v>0.5</v>
      </c>
    </row>
    <row r="22" spans="1:8">
      <c r="B22" s="45"/>
      <c r="H22" s="46"/>
    </row>
    <row r="23" spans="1:8" ht="15.75" thickBot="1">
      <c r="B23" s="47" t="s">
        <v>216</v>
      </c>
      <c r="C23" s="47" t="s">
        <v>8</v>
      </c>
      <c r="D23" s="47" t="s">
        <v>217</v>
      </c>
      <c r="E23" s="47" t="s">
        <v>7</v>
      </c>
      <c r="F23" s="48" t="str">
        <f>IF(Regions!C$3&lt;&gt;"",Regions!C$3,"*")</f>
        <v>IE</v>
      </c>
      <c r="G23" s="48" t="str">
        <f>IF(Regions!C$3&lt;&gt;"",Regions!D$3,"*")</f>
        <v>National</v>
      </c>
      <c r="H23" s="49" t="s">
        <v>218</v>
      </c>
    </row>
    <row r="24" spans="1:8">
      <c r="D24" t="s">
        <v>219</v>
      </c>
      <c r="E24">
        <v>2018</v>
      </c>
      <c r="F24">
        <v>2222</v>
      </c>
      <c r="G24">
        <f>F24</f>
        <v>2222</v>
      </c>
      <c r="H24" t="str">
        <f xml:space="preserve"> _xlfn.TEXTJOIN(",",TRUE,F6:F10)</f>
        <v>SRVBIO,SRVBGS,SRVAHT,SRVAHT2,SRVHET,SRVGAS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3777E-BCE4-472D-B253-88326C1C4E47}">
  <dimension ref="A2:N10"/>
  <sheetViews>
    <sheetView zoomScaleNormal="100" workbookViewId="0">
      <selection activeCell="I7" sqref="I7"/>
    </sheetView>
  </sheetViews>
  <sheetFormatPr defaultRowHeight="1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9.7109375" bestFit="1" customWidth="1"/>
    <col min="11" max="11" width="14.8554687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1:14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181</v>
      </c>
      <c r="K5" s="4" t="s">
        <v>223</v>
      </c>
      <c r="L5" s="4" t="s">
        <v>182</v>
      </c>
      <c r="M5" s="4" t="s">
        <v>11</v>
      </c>
      <c r="N5" s="4" t="s">
        <v>12</v>
      </c>
    </row>
    <row r="6" spans="1:14">
      <c r="B6" s="2" t="str">
        <f>_xlfn.TEXTJOIN("_",TRUE,"UC",A10,"MaxGrowth",B10)</f>
        <v>UC_RSD_MaxGrowth_Retrofits</v>
      </c>
      <c r="C6" s="2" t="s">
        <v>224</v>
      </c>
      <c r="D6" s="2"/>
      <c r="F6" s="2"/>
      <c r="G6" s="2" t="s">
        <v>225</v>
      </c>
      <c r="H6" s="2">
        <v>2019</v>
      </c>
      <c r="I6" s="2" t="s">
        <v>15</v>
      </c>
      <c r="J6" s="29">
        <f>1+C10</f>
        <v>1.5</v>
      </c>
      <c r="K6" s="2">
        <v>1</v>
      </c>
      <c r="L6" s="16">
        <f>-D10</f>
        <v>-20</v>
      </c>
      <c r="M6" s="2">
        <v>5</v>
      </c>
      <c r="N6" s="2" t="str">
        <f>_xlfn.TEXTJOIN(" ",TRUE,A10, "maximum growth rate of",LOWER(B10))</f>
        <v>RSD maximum growth rate of retrofits</v>
      </c>
    </row>
    <row r="7" spans="1:14">
      <c r="B7" s="2" t="s">
        <v>226</v>
      </c>
      <c r="C7" s="2"/>
      <c r="D7" s="2"/>
      <c r="F7" s="2"/>
      <c r="G7" s="2" t="s">
        <v>225</v>
      </c>
      <c r="H7">
        <v>2019</v>
      </c>
      <c r="I7" s="2" t="s">
        <v>185</v>
      </c>
      <c r="J7" s="50">
        <v>1</v>
      </c>
      <c r="K7" s="2"/>
      <c r="L7" s="16">
        <v>60</v>
      </c>
      <c r="M7" s="2">
        <v>5</v>
      </c>
      <c r="N7" s="2" t="s">
        <v>227</v>
      </c>
    </row>
    <row r="9" spans="1:14">
      <c r="C9" t="s">
        <v>117</v>
      </c>
      <c r="D9" t="s">
        <v>228</v>
      </c>
    </row>
    <row r="10" spans="1:14">
      <c r="A10" t="s">
        <v>195</v>
      </c>
      <c r="B10" t="s">
        <v>229</v>
      </c>
      <c r="C10" s="11">
        <v>0.5</v>
      </c>
      <c r="D10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9"/>
  <sheetViews>
    <sheetView zoomScale="70" zoomScaleNormal="70" workbookViewId="0">
      <selection activeCell="K35" sqref="K35"/>
    </sheetView>
  </sheetViews>
  <sheetFormatPr defaultRowHeight="15"/>
  <cols>
    <col min="2" max="2" width="29.710937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>
      <c r="B6" s="2" t="str">
        <f>IF(H29="*","*",_xlfn.TEXTJOIN("",TRUE,"UC-",I29,"_MaxGrowth",J29))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5" si="0">1+$K29</f>
        <v>1.8</v>
      </c>
      <c r="K6" s="2">
        <v>1</v>
      </c>
      <c r="L6" s="16">
        <f t="shared" ref="L6:L11" si="1">-$B$59*L29/1000</f>
        <v>-18.168149999999997</v>
      </c>
      <c r="M6" s="2">
        <v>5</v>
      </c>
      <c r="N6" s="2" t="str">
        <f t="shared" ref="N6:N25" si="2">_xlfn.TEXTJOIN(" ", TRUE,I29&amp;"s","maximum growth rate of",J29&amp;"s")</f>
        <v>CARs maximum growth rate of BEVs</v>
      </c>
    </row>
    <row r="7" spans="2:15">
      <c r="B7" s="2" t="str">
        <f>IF(H30="*","*",_xlfn.TEXTJOIN("",TRUE,"UC-",I30,"_MaxGrowth",J30))</f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0"/>
        <v>1.8</v>
      </c>
      <c r="K7" s="2">
        <v>1</v>
      </c>
      <c r="L7" s="16">
        <f t="shared" si="1"/>
        <v>-18.168149999999997</v>
      </c>
      <c r="M7" s="2">
        <v>5</v>
      </c>
      <c r="N7" s="2" t="str">
        <f t="shared" si="2"/>
        <v>CARs maximum growth rate of PHEVs</v>
      </c>
    </row>
    <row r="8" spans="2:15">
      <c r="B8" s="2" t="str">
        <f>IF(H31="*","*",_xlfn.TEXTJOIN("",TRUE,"UC-",I31,"_MaxGrowth",J31))</f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0"/>
        <v>1.5</v>
      </c>
      <c r="K8" s="2">
        <v>1</v>
      </c>
      <c r="L8" s="16">
        <f t="shared" si="1"/>
        <v>-18.168149999999997</v>
      </c>
      <c r="M8" s="2">
        <v>5</v>
      </c>
      <c r="N8" s="2" t="str">
        <f t="shared" si="2"/>
        <v>CARs maximum growth rate of NG-ICEs</v>
      </c>
    </row>
    <row r="9" spans="2:15">
      <c r="B9" s="53" t="str">
        <f>IF(H32="*","*",_xlfn.TEXTJOIN("",TRUE,"UC-",I32,"_MaxGrowth",J32))</f>
        <v>UC-CAR_MaxGrowthB100-ICE</v>
      </c>
      <c r="C9" s="53" t="s">
        <v>13</v>
      </c>
      <c r="D9" s="53" t="s">
        <v>14</v>
      </c>
      <c r="E9" s="53"/>
      <c r="F9" s="53"/>
      <c r="G9" s="53" t="s">
        <v>235</v>
      </c>
      <c r="H9" s="53">
        <v>2018</v>
      </c>
      <c r="I9" s="53" t="s">
        <v>15</v>
      </c>
      <c r="J9" s="54">
        <f t="shared" si="0"/>
        <v>1.2</v>
      </c>
      <c r="K9" s="53">
        <v>1</v>
      </c>
      <c r="L9" s="55">
        <f t="shared" si="1"/>
        <v>-18.168149999999997</v>
      </c>
      <c r="M9" s="53">
        <v>5</v>
      </c>
      <c r="N9" s="53" t="str">
        <f t="shared" si="2"/>
        <v>CARs maximum growth rate of B100-ICEs</v>
      </c>
    </row>
    <row r="10" spans="2:15">
      <c r="B10" s="53" t="str">
        <f>IF(H33="*","*",_xlfn.TEXTJOIN("",TRUE,"UC-",I33,"_MaxGrowth",J33))</f>
        <v>UC-CAR_MaxGrowthE85-ICE</v>
      </c>
      <c r="C10" s="53" t="s">
        <v>13</v>
      </c>
      <c r="D10" s="53" t="s">
        <v>14</v>
      </c>
      <c r="E10" s="53"/>
      <c r="F10" s="53"/>
      <c r="G10" s="53" t="s">
        <v>237</v>
      </c>
      <c r="H10" s="53">
        <v>2018</v>
      </c>
      <c r="I10" s="53" t="s">
        <v>15</v>
      </c>
      <c r="J10" s="54">
        <f t="shared" si="0"/>
        <v>1.2</v>
      </c>
      <c r="K10" s="53">
        <v>1</v>
      </c>
      <c r="L10" s="55">
        <f t="shared" si="1"/>
        <v>-18.168149999999997</v>
      </c>
      <c r="M10" s="53">
        <v>5</v>
      </c>
      <c r="N10" s="53" t="str">
        <f t="shared" si="2"/>
        <v>CARs maximum growth rate of E85-ICEs</v>
      </c>
    </row>
    <row r="11" spans="2:15">
      <c r="B11" s="18" t="str">
        <f t="shared" ref="B11:B25" si="3">IF(H32="*","*",_xlfn.TEXTJOIN("",TRUE,"UC-",I34,"_MaxGrowth",J34))</f>
        <v>UC-CAR_MaxGrowthFCV</v>
      </c>
      <c r="C11" s="18" t="s">
        <v>13</v>
      </c>
      <c r="D11" s="18" t="s">
        <v>14</v>
      </c>
      <c r="E11" s="18"/>
      <c r="F11" s="18"/>
      <c r="G11" s="18" t="s">
        <v>49</v>
      </c>
      <c r="H11" s="18">
        <v>2018</v>
      </c>
      <c r="I11" s="18" t="s">
        <v>15</v>
      </c>
      <c r="J11" s="27">
        <f t="shared" si="0"/>
        <v>1.5</v>
      </c>
      <c r="K11" s="18">
        <v>1</v>
      </c>
      <c r="L11" s="19">
        <f t="shared" si="1"/>
        <v>-18.168149999999997</v>
      </c>
      <c r="M11" s="18">
        <v>5</v>
      </c>
      <c r="N11" s="18" t="str">
        <f t="shared" si="2"/>
        <v>CARs maximum growth rate of FCVs</v>
      </c>
    </row>
    <row r="12" spans="2:15">
      <c r="B12" s="2" t="str">
        <f t="shared" si="3"/>
        <v>UC-LGT_MaxGrowthBEV</v>
      </c>
      <c r="C12" s="2" t="s">
        <v>13</v>
      </c>
      <c r="D12" s="2" t="s">
        <v>14</v>
      </c>
      <c r="E12" s="2"/>
      <c r="F12" s="2"/>
      <c r="G12" s="2" t="s">
        <v>39</v>
      </c>
      <c r="H12" s="2">
        <v>2018</v>
      </c>
      <c r="I12" s="2" t="s">
        <v>15</v>
      </c>
      <c r="J12" s="26">
        <f t="shared" si="0"/>
        <v>1.8</v>
      </c>
      <c r="K12" s="2">
        <v>1</v>
      </c>
      <c r="L12" s="16">
        <f>-$B$58*L35/1000</f>
        <v>-2.4808499999999998</v>
      </c>
      <c r="M12" s="2">
        <v>5</v>
      </c>
      <c r="N12" s="2" t="str">
        <f t="shared" si="2"/>
        <v>LGTs maximum growth rate of BEVs</v>
      </c>
    </row>
    <row r="13" spans="2:15">
      <c r="B13" s="2" t="str">
        <f t="shared" si="3"/>
        <v>UC-LGT_MaxGrowthPHEV</v>
      </c>
      <c r="C13" s="2" t="s">
        <v>13</v>
      </c>
      <c r="D13" s="2" t="s">
        <v>14</v>
      </c>
      <c r="E13" s="2"/>
      <c r="F13" s="2"/>
      <c r="G13" s="2" t="s">
        <v>50</v>
      </c>
      <c r="H13" s="2">
        <v>2018</v>
      </c>
      <c r="I13" s="2" t="s">
        <v>15</v>
      </c>
      <c r="J13" s="26">
        <f t="shared" si="0"/>
        <v>1.8</v>
      </c>
      <c r="K13" s="2">
        <v>1</v>
      </c>
      <c r="L13" s="16">
        <f>-$B$58*L36/1000</f>
        <v>-2.4808499999999998</v>
      </c>
      <c r="M13" s="2">
        <v>5</v>
      </c>
      <c r="N13" s="2" t="str">
        <f t="shared" si="2"/>
        <v>LGTs maximum growth rate of PHEVs</v>
      </c>
    </row>
    <row r="14" spans="2:15">
      <c r="B14" s="2" t="str">
        <f t="shared" si="3"/>
        <v>UC-LGT_MaxGrowthNG-ICE</v>
      </c>
      <c r="C14" s="2" t="s">
        <v>13</v>
      </c>
      <c r="D14" s="2" t="s">
        <v>14</v>
      </c>
      <c r="E14" s="2"/>
      <c r="F14" s="2"/>
      <c r="G14" s="2" t="s">
        <v>116</v>
      </c>
      <c r="H14" s="2">
        <v>2018</v>
      </c>
      <c r="I14" s="2" t="s">
        <v>15</v>
      </c>
      <c r="J14" s="26">
        <f t="shared" si="0"/>
        <v>1.3</v>
      </c>
      <c r="K14" s="2">
        <v>1</v>
      </c>
      <c r="L14" s="16">
        <f>-$B$58*L37/1000</f>
        <v>-2.4808499999999998</v>
      </c>
      <c r="M14" s="2">
        <v>5</v>
      </c>
      <c r="N14" s="2" t="str">
        <f t="shared" si="2"/>
        <v>LGTs maximum growth rate of NG-ICEs</v>
      </c>
    </row>
    <row r="15" spans="2:15">
      <c r="B15" s="18" t="str">
        <f t="shared" si="3"/>
        <v>UC-LGT_MaxGrowthFCV</v>
      </c>
      <c r="C15" s="18" t="s">
        <v>13</v>
      </c>
      <c r="D15" s="18" t="s">
        <v>14</v>
      </c>
      <c r="E15" s="18"/>
      <c r="F15" s="18"/>
      <c r="G15" s="18" t="s">
        <v>51</v>
      </c>
      <c r="H15" s="18">
        <v>2018</v>
      </c>
      <c r="I15" s="18" t="s">
        <v>15</v>
      </c>
      <c r="J15" s="27">
        <f t="shared" si="0"/>
        <v>1.3</v>
      </c>
      <c r="K15" s="18">
        <v>1</v>
      </c>
      <c r="L15" s="19">
        <f>-$B$58*L38/1000</f>
        <v>-2.4808499999999998</v>
      </c>
      <c r="M15" s="18">
        <v>5</v>
      </c>
      <c r="N15" s="18" t="str">
        <f t="shared" si="2"/>
        <v>LGTs maximum growth rate of FCVs</v>
      </c>
    </row>
    <row r="16" spans="2:15">
      <c r="B16" s="2" t="str">
        <f t="shared" si="3"/>
        <v>UC-MGT_MaxGrowthBEV</v>
      </c>
      <c r="C16" s="2" t="s">
        <v>13</v>
      </c>
      <c r="D16" s="2" t="s">
        <v>14</v>
      </c>
      <c r="E16" s="2"/>
      <c r="F16" s="2"/>
      <c r="G16" s="2" t="s">
        <v>40</v>
      </c>
      <c r="H16" s="2">
        <v>2018</v>
      </c>
      <c r="I16" s="2" t="s">
        <v>15</v>
      </c>
      <c r="J16" s="26">
        <f t="shared" si="0"/>
        <v>1.5</v>
      </c>
      <c r="K16" s="2">
        <v>1</v>
      </c>
      <c r="L16" s="16">
        <f>-$B$57*L39/1000</f>
        <v>-7.9500000000000001E-2</v>
      </c>
      <c r="M16" s="2">
        <v>5</v>
      </c>
      <c r="N16" s="2" t="str">
        <f t="shared" si="2"/>
        <v>MGTs maximum growth rate of BEVs</v>
      </c>
    </row>
    <row r="17" spans="1:15">
      <c r="B17" s="2" t="str">
        <f t="shared" si="3"/>
        <v>UC-MGT_MaxGrowthNG-ICE</v>
      </c>
      <c r="C17" s="2" t="s">
        <v>13</v>
      </c>
      <c r="D17" s="2" t="s">
        <v>14</v>
      </c>
      <c r="E17" s="2"/>
      <c r="F17" s="2"/>
      <c r="G17" s="2" t="s">
        <v>111</v>
      </c>
      <c r="H17" s="2">
        <v>2018</v>
      </c>
      <c r="I17" s="2" t="s">
        <v>15</v>
      </c>
      <c r="J17" s="26">
        <f t="shared" si="0"/>
        <v>1.5</v>
      </c>
      <c r="K17" s="2">
        <v>1</v>
      </c>
      <c r="L17" s="16">
        <f>-$B$57*L40/1000</f>
        <v>-7.9500000000000001E-2</v>
      </c>
      <c r="M17" s="2">
        <v>5</v>
      </c>
      <c r="N17" s="2" t="str">
        <f t="shared" si="2"/>
        <v>MGTs maximum growth rate of NG-ICEs</v>
      </c>
    </row>
    <row r="18" spans="1:15">
      <c r="B18" s="2" t="str">
        <f t="shared" si="3"/>
        <v>UC-MGT_MaxGrowthLNG-ICE</v>
      </c>
      <c r="C18" s="2" t="s">
        <v>13</v>
      </c>
      <c r="D18" s="2" t="s">
        <v>14</v>
      </c>
      <c r="E18" s="2"/>
      <c r="F18" s="2"/>
      <c r="G18" s="2" t="s">
        <v>112</v>
      </c>
      <c r="H18" s="2">
        <v>2018</v>
      </c>
      <c r="I18" s="2" t="s">
        <v>15</v>
      </c>
      <c r="J18" s="26">
        <f t="shared" si="0"/>
        <v>1.5</v>
      </c>
      <c r="K18" s="2">
        <v>1</v>
      </c>
      <c r="L18" s="16">
        <f>-$B$57*L41/1000</f>
        <v>-7.9500000000000001E-2</v>
      </c>
      <c r="M18" s="2">
        <v>5</v>
      </c>
      <c r="N18" s="2" t="str">
        <f t="shared" si="2"/>
        <v>MGTs maximum growth rate of LNG-ICEs</v>
      </c>
    </row>
    <row r="19" spans="1:15">
      <c r="B19" s="2" t="str">
        <f t="shared" si="3"/>
        <v>UC-MGT_MaxGrowthHEV</v>
      </c>
      <c r="C19" s="2" t="s">
        <v>13</v>
      </c>
      <c r="D19" s="2" t="s">
        <v>14</v>
      </c>
      <c r="E19" s="2"/>
      <c r="F19" s="2"/>
      <c r="G19" s="2" t="s">
        <v>46</v>
      </c>
      <c r="H19" s="2">
        <v>2018</v>
      </c>
      <c r="I19" s="2" t="s">
        <v>15</v>
      </c>
      <c r="J19" s="26">
        <f t="shared" si="0"/>
        <v>1.5</v>
      </c>
      <c r="K19" s="2">
        <v>1</v>
      </c>
      <c r="L19" s="16">
        <f>-$B$57*L42/1000</f>
        <v>-7.9500000000000001E-2</v>
      </c>
      <c r="M19" s="2">
        <v>5</v>
      </c>
      <c r="N19" s="2" t="str">
        <f t="shared" si="2"/>
        <v>MGTs maximum growth rate of HEVs</v>
      </c>
    </row>
    <row r="20" spans="1:15">
      <c r="B20" s="18" t="str">
        <f t="shared" si="3"/>
        <v>UC-MGT_MaxGrowthFCV</v>
      </c>
      <c r="C20" s="18" t="s">
        <v>13</v>
      </c>
      <c r="D20" s="18" t="s">
        <v>14</v>
      </c>
      <c r="E20" s="18"/>
      <c r="F20" s="18"/>
      <c r="G20" s="18" t="s">
        <v>48</v>
      </c>
      <c r="H20" s="18">
        <v>2018</v>
      </c>
      <c r="I20" s="18" t="s">
        <v>15</v>
      </c>
      <c r="J20" s="27">
        <f t="shared" si="0"/>
        <v>1.5</v>
      </c>
      <c r="K20" s="18">
        <v>1</v>
      </c>
      <c r="L20" s="19">
        <f>-$B$57*L43/1000</f>
        <v>-7.9500000000000001E-2</v>
      </c>
      <c r="M20" s="18">
        <v>5</v>
      </c>
      <c r="N20" s="18" t="str">
        <f t="shared" si="2"/>
        <v>MGTs maximum growth rate of FCVs</v>
      </c>
    </row>
    <row r="21" spans="1:15">
      <c r="B21" s="2" t="str">
        <f t="shared" si="3"/>
        <v>UC-HGT_MaxGrowthBEV</v>
      </c>
      <c r="C21" s="2" t="s">
        <v>13</v>
      </c>
      <c r="D21" s="2" t="s">
        <v>14</v>
      </c>
      <c r="E21" s="2"/>
      <c r="F21" s="2"/>
      <c r="G21" s="2" t="s">
        <v>41</v>
      </c>
      <c r="H21" s="2">
        <v>2018</v>
      </c>
      <c r="I21" s="2" t="s">
        <v>15</v>
      </c>
      <c r="J21" s="26">
        <f t="shared" si="0"/>
        <v>1.5</v>
      </c>
      <c r="K21" s="2">
        <v>1</v>
      </c>
      <c r="L21" s="16">
        <f>-$B$56*L44/1000</f>
        <v>-0.22769999999999999</v>
      </c>
      <c r="M21" s="2">
        <v>5</v>
      </c>
      <c r="N21" s="2" t="str">
        <f t="shared" si="2"/>
        <v>HGTs maximum growth rate of BEVs</v>
      </c>
    </row>
    <row r="22" spans="1:15">
      <c r="B22" s="2" t="str">
        <f t="shared" si="3"/>
        <v>UC-HGT_MaxGrowthNG-ICE</v>
      </c>
      <c r="C22" s="2" t="s">
        <v>13</v>
      </c>
      <c r="D22" s="2" t="s">
        <v>14</v>
      </c>
      <c r="E22" s="2"/>
      <c r="F22" s="2"/>
      <c r="G22" s="2" t="s">
        <v>113</v>
      </c>
      <c r="H22" s="2">
        <v>2018</v>
      </c>
      <c r="I22" s="2" t="s">
        <v>15</v>
      </c>
      <c r="J22" s="26">
        <f t="shared" si="0"/>
        <v>1.5</v>
      </c>
      <c r="K22" s="2">
        <v>1</v>
      </c>
      <c r="L22" s="16">
        <f>-$B$56*L45/1000</f>
        <v>-0.22769999999999999</v>
      </c>
      <c r="M22" s="2">
        <v>5</v>
      </c>
      <c r="N22" s="2" t="str">
        <f t="shared" si="2"/>
        <v>HGTs maximum growth rate of NG-ICEs</v>
      </c>
    </row>
    <row r="23" spans="1:15">
      <c r="B23" s="2" t="str">
        <f t="shared" si="3"/>
        <v>UC-HGT_MaxGrowthLNG-ICE</v>
      </c>
      <c r="C23" s="2" t="s">
        <v>13</v>
      </c>
      <c r="D23" s="2" t="s">
        <v>14</v>
      </c>
      <c r="E23" s="2"/>
      <c r="F23" s="2"/>
      <c r="G23" s="2" t="s">
        <v>114</v>
      </c>
      <c r="H23" s="2">
        <v>2018</v>
      </c>
      <c r="I23" s="2" t="s">
        <v>15</v>
      </c>
      <c r="J23" s="26">
        <f t="shared" si="0"/>
        <v>1.5</v>
      </c>
      <c r="K23" s="2">
        <v>1</v>
      </c>
      <c r="L23" s="16">
        <f>-$B$56*L46/1000</f>
        <v>-0.22769999999999999</v>
      </c>
      <c r="M23" s="2">
        <v>5</v>
      </c>
      <c r="N23" s="2" t="str">
        <f t="shared" si="2"/>
        <v>HGTs maximum growth rate of LNG-ICEs</v>
      </c>
    </row>
    <row r="24" spans="1:15">
      <c r="B24" s="2" t="str">
        <f t="shared" si="3"/>
        <v>UC-HGT_MaxGrowthHEV</v>
      </c>
      <c r="C24" s="2" t="s">
        <v>13</v>
      </c>
      <c r="D24" s="2" t="s">
        <v>14</v>
      </c>
      <c r="E24" s="2"/>
      <c r="F24" s="2"/>
      <c r="G24" s="2" t="s">
        <v>45</v>
      </c>
      <c r="H24" s="2">
        <v>2018</v>
      </c>
      <c r="I24" s="2" t="s">
        <v>15</v>
      </c>
      <c r="J24" s="26">
        <f t="shared" si="0"/>
        <v>1.5</v>
      </c>
      <c r="K24" s="2">
        <v>1</v>
      </c>
      <c r="L24" s="16">
        <f>-$B$56*L47/1000</f>
        <v>-0.22769999999999999</v>
      </c>
      <c r="M24" s="2">
        <v>5</v>
      </c>
      <c r="N24" s="2" t="str">
        <f t="shared" si="2"/>
        <v>HGTs maximum growth rate of HEVs</v>
      </c>
      <c r="O24" s="2"/>
    </row>
    <row r="25" spans="1:15">
      <c r="B25" s="18" t="str">
        <f t="shared" si="3"/>
        <v>UC-HGT_MaxGrowthFCV</v>
      </c>
      <c r="C25" s="18" t="s">
        <v>13</v>
      </c>
      <c r="D25" s="18" t="s">
        <v>14</v>
      </c>
      <c r="E25" s="18"/>
      <c r="F25" s="18"/>
      <c r="G25" s="18" t="s">
        <v>47</v>
      </c>
      <c r="H25" s="18">
        <v>2018</v>
      </c>
      <c r="I25" s="18" t="s">
        <v>15</v>
      </c>
      <c r="J25" s="27">
        <f t="shared" si="0"/>
        <v>1.5</v>
      </c>
      <c r="K25" s="18">
        <v>1</v>
      </c>
      <c r="L25" s="19">
        <f>-$B$56*L48/1000</f>
        <v>-0.22769999999999999</v>
      </c>
      <c r="M25" s="18">
        <v>5</v>
      </c>
      <c r="N25" s="18" t="str">
        <f t="shared" si="2"/>
        <v>HGTs maximum growth rate of FCVs</v>
      </c>
    </row>
    <row r="28" spans="1:15">
      <c r="H28" t="s">
        <v>152</v>
      </c>
      <c r="I28" t="s">
        <v>150</v>
      </c>
      <c r="J28" t="s">
        <v>151</v>
      </c>
      <c r="K28" t="s">
        <v>117</v>
      </c>
      <c r="L28" t="s">
        <v>153</v>
      </c>
    </row>
    <row r="29" spans="1:15">
      <c r="I29" t="s">
        <v>147</v>
      </c>
      <c r="J29" t="s">
        <v>129</v>
      </c>
      <c r="K29" s="11">
        <v>0.8</v>
      </c>
      <c r="L29" s="11">
        <v>0.15</v>
      </c>
    </row>
    <row r="30" spans="1:15">
      <c r="A30" s="3" t="s">
        <v>29</v>
      </c>
      <c r="I30" t="s">
        <v>147</v>
      </c>
      <c r="J30" t="s">
        <v>130</v>
      </c>
      <c r="K30" s="11">
        <v>0.8</v>
      </c>
      <c r="L30" s="11">
        <v>0.15</v>
      </c>
    </row>
    <row r="31" spans="1:15">
      <c r="A31" s="4"/>
      <c r="B31" s="4"/>
      <c r="C31" s="8" t="s">
        <v>31</v>
      </c>
      <c r="D31" s="8" t="s">
        <v>30</v>
      </c>
      <c r="E31" s="8" t="s">
        <v>32</v>
      </c>
      <c r="I31" t="s">
        <v>147</v>
      </c>
      <c r="J31" t="s">
        <v>148</v>
      </c>
      <c r="K31" s="11">
        <v>0.5</v>
      </c>
      <c r="L31" s="11">
        <v>0.15</v>
      </c>
    </row>
    <row r="32" spans="1:15">
      <c r="A32" s="62" t="s">
        <v>27</v>
      </c>
      <c r="B32" t="s">
        <v>26</v>
      </c>
      <c r="C32" s="6">
        <v>228046</v>
      </c>
      <c r="D32" s="6">
        <v>9959</v>
      </c>
      <c r="E32" s="9">
        <f t="shared" ref="E32:E37" si="4">D32/C32</f>
        <v>4.3671013742841359E-2</v>
      </c>
      <c r="I32" s="51" t="s">
        <v>147</v>
      </c>
      <c r="J32" s="51" t="s">
        <v>234</v>
      </c>
      <c r="K32" s="52">
        <v>0.2</v>
      </c>
      <c r="L32" s="52">
        <v>0.15</v>
      </c>
    </row>
    <row r="33" spans="1:12">
      <c r="A33" s="62"/>
      <c r="B33" t="s">
        <v>25</v>
      </c>
      <c r="C33" s="6">
        <v>100649</v>
      </c>
      <c r="D33" s="6">
        <v>6580</v>
      </c>
      <c r="E33" s="9">
        <f t="shared" si="4"/>
        <v>6.5375711631511485E-2</v>
      </c>
      <c r="I33" s="51" t="s">
        <v>147</v>
      </c>
      <c r="J33" s="51" t="s">
        <v>236</v>
      </c>
      <c r="K33" s="52">
        <v>0.2</v>
      </c>
      <c r="L33" s="52">
        <v>0.15</v>
      </c>
    </row>
    <row r="34" spans="1:12">
      <c r="A34" s="62"/>
      <c r="B34" t="s">
        <v>24</v>
      </c>
      <c r="C34" s="6">
        <v>4546</v>
      </c>
      <c r="D34" s="6">
        <v>201</v>
      </c>
      <c r="E34" s="9">
        <f t="shared" si="4"/>
        <v>4.4214694236691596E-2</v>
      </c>
      <c r="I34" t="s">
        <v>147</v>
      </c>
      <c r="J34" t="s">
        <v>131</v>
      </c>
      <c r="K34" s="11">
        <v>0.5</v>
      </c>
      <c r="L34" s="11">
        <v>0.15</v>
      </c>
    </row>
    <row r="35" spans="1:12">
      <c r="A35" s="62"/>
      <c r="B35" t="s">
        <v>23</v>
      </c>
      <c r="C35" s="6">
        <v>6661</v>
      </c>
      <c r="D35" s="6">
        <v>329</v>
      </c>
      <c r="E35" s="9">
        <f t="shared" si="4"/>
        <v>4.9391983185707852E-2</v>
      </c>
      <c r="I35" t="s">
        <v>132</v>
      </c>
      <c r="J35" t="s">
        <v>129</v>
      </c>
      <c r="K35" s="11">
        <v>0.8</v>
      </c>
      <c r="L35" s="11">
        <v>0.15</v>
      </c>
    </row>
    <row r="36" spans="1:12">
      <c r="A36" s="62"/>
      <c r="B36" t="s">
        <v>22</v>
      </c>
      <c r="C36" s="6">
        <v>8424</v>
      </c>
      <c r="D36" s="6">
        <v>485</v>
      </c>
      <c r="E36" s="9">
        <f t="shared" si="4"/>
        <v>5.7573599240265907E-2</v>
      </c>
      <c r="I36" t="s">
        <v>132</v>
      </c>
      <c r="J36" t="s">
        <v>130</v>
      </c>
      <c r="K36" s="11">
        <v>0.8</v>
      </c>
      <c r="L36" s="11">
        <v>0.15</v>
      </c>
    </row>
    <row r="37" spans="1:12">
      <c r="A37" s="62"/>
      <c r="B37" t="s">
        <v>21</v>
      </c>
      <c r="C37" s="6">
        <v>14373</v>
      </c>
      <c r="D37" s="6">
        <v>1033</v>
      </c>
      <c r="E37" s="9">
        <f t="shared" si="4"/>
        <v>7.187086899046824E-2</v>
      </c>
      <c r="I37" t="s">
        <v>132</v>
      </c>
      <c r="J37" t="s">
        <v>148</v>
      </c>
      <c r="K37" s="11">
        <v>0.3</v>
      </c>
      <c r="L37" s="11">
        <v>0.15</v>
      </c>
    </row>
    <row r="38" spans="1:12">
      <c r="B38" t="s">
        <v>20</v>
      </c>
      <c r="C38" s="6">
        <v>2168099</v>
      </c>
      <c r="D38" s="6">
        <v>121121</v>
      </c>
      <c r="E38" s="9">
        <f>D38/C38</f>
        <v>5.5865068892149296E-2</v>
      </c>
      <c r="I38" t="s">
        <v>132</v>
      </c>
      <c r="J38" t="s">
        <v>131</v>
      </c>
      <c r="K38" s="11">
        <v>0.3</v>
      </c>
      <c r="L38" s="11">
        <v>0.15</v>
      </c>
    </row>
    <row r="39" spans="1:12">
      <c r="B39" t="s">
        <v>19</v>
      </c>
      <c r="C39" s="6">
        <v>41471</v>
      </c>
      <c r="D39" s="6">
        <v>2566</v>
      </c>
      <c r="E39" s="9">
        <f t="shared" ref="E39:E41" si="5">D39/C39</f>
        <v>6.1874562947601935E-2</v>
      </c>
      <c r="I39" t="s">
        <v>133</v>
      </c>
      <c r="J39" t="s">
        <v>129</v>
      </c>
      <c r="K39" s="11">
        <v>0.5</v>
      </c>
      <c r="L39" s="11">
        <v>0.15</v>
      </c>
    </row>
    <row r="40" spans="1:12">
      <c r="B40" t="s">
        <v>18</v>
      </c>
      <c r="C40" s="6">
        <v>21457</v>
      </c>
      <c r="D40" s="6">
        <v>1224</v>
      </c>
      <c r="E40" s="9">
        <f t="shared" si="5"/>
        <v>5.7044321200540614E-2</v>
      </c>
      <c r="I40" t="s">
        <v>133</v>
      </c>
      <c r="J40" t="s">
        <v>148</v>
      </c>
      <c r="K40" s="11">
        <v>0.5</v>
      </c>
      <c r="L40" s="11">
        <v>0.15</v>
      </c>
    </row>
    <row r="41" spans="1:12">
      <c r="A41" s="5"/>
      <c r="B41" s="5" t="s">
        <v>17</v>
      </c>
      <c r="C41" s="7">
        <v>11206</v>
      </c>
      <c r="D41" s="7">
        <v>551</v>
      </c>
      <c r="E41" s="10">
        <f t="shared" si="5"/>
        <v>4.9170087453150095E-2</v>
      </c>
      <c r="I41" t="s">
        <v>133</v>
      </c>
      <c r="J41" t="s">
        <v>149</v>
      </c>
      <c r="K41" s="11">
        <v>0.5</v>
      </c>
      <c r="L41" s="11">
        <v>0.15</v>
      </c>
    </row>
    <row r="42" spans="1:12">
      <c r="A42" t="s">
        <v>28</v>
      </c>
      <c r="I42" t="s">
        <v>133</v>
      </c>
      <c r="J42" t="s">
        <v>134</v>
      </c>
      <c r="K42" s="11">
        <v>0.5</v>
      </c>
      <c r="L42" s="11">
        <v>0.15</v>
      </c>
    </row>
    <row r="43" spans="1:12">
      <c r="I43" t="s">
        <v>133</v>
      </c>
      <c r="J43" t="s">
        <v>131</v>
      </c>
      <c r="K43" s="11">
        <v>0.5</v>
      </c>
      <c r="L43" s="11">
        <v>0.15</v>
      </c>
    </row>
    <row r="44" spans="1:12">
      <c r="I44" t="s">
        <v>135</v>
      </c>
      <c r="J44" t="s">
        <v>129</v>
      </c>
      <c r="K44" s="11">
        <v>0.5</v>
      </c>
      <c r="L44" s="11">
        <v>0.15</v>
      </c>
    </row>
    <row r="45" spans="1:12">
      <c r="I45" t="s">
        <v>135</v>
      </c>
      <c r="J45" t="s">
        <v>148</v>
      </c>
      <c r="K45" s="11">
        <v>0.5</v>
      </c>
      <c r="L45" s="11">
        <v>0.15</v>
      </c>
    </row>
    <row r="46" spans="1:12">
      <c r="I46" t="s">
        <v>135</v>
      </c>
      <c r="J46" t="s">
        <v>149</v>
      </c>
      <c r="K46" s="11">
        <v>0.5</v>
      </c>
      <c r="L46" s="11">
        <v>0.15</v>
      </c>
    </row>
    <row r="47" spans="1:12">
      <c r="I47" t="s">
        <v>135</v>
      </c>
      <c r="J47" t="s">
        <v>134</v>
      </c>
      <c r="K47" s="11">
        <v>0.5</v>
      </c>
      <c r="L47" s="11">
        <v>0.15</v>
      </c>
    </row>
    <row r="48" spans="1:12">
      <c r="I48" t="s">
        <v>135</v>
      </c>
      <c r="J48" t="s">
        <v>131</v>
      </c>
      <c r="K48" s="11">
        <v>0.5</v>
      </c>
      <c r="L48" s="11">
        <v>0.15</v>
      </c>
    </row>
    <row r="51" spans="1:16">
      <c r="A51" t="s">
        <v>136</v>
      </c>
    </row>
    <row r="52" spans="1:16">
      <c r="B52" t="s">
        <v>33</v>
      </c>
      <c r="C52" t="s">
        <v>120</v>
      </c>
    </row>
    <row r="53" spans="1:16">
      <c r="B53" s="11">
        <v>0.5</v>
      </c>
      <c r="C53" s="11">
        <v>0.2</v>
      </c>
    </row>
    <row r="54" spans="1:16">
      <c r="C54">
        <v>2018</v>
      </c>
      <c r="D54">
        <v>2019</v>
      </c>
      <c r="E54">
        <v>2020</v>
      </c>
      <c r="F54">
        <v>2021</v>
      </c>
      <c r="G54">
        <v>2022</v>
      </c>
      <c r="H54">
        <v>2023</v>
      </c>
      <c r="I54">
        <v>2024</v>
      </c>
      <c r="J54">
        <v>2025</v>
      </c>
      <c r="K54">
        <v>2026</v>
      </c>
      <c r="L54">
        <v>2027</v>
      </c>
      <c r="M54">
        <v>2028</v>
      </c>
      <c r="N54">
        <v>2029</v>
      </c>
      <c r="O54">
        <v>2030</v>
      </c>
      <c r="P54" t="s">
        <v>121</v>
      </c>
    </row>
    <row r="55" spans="1:16">
      <c r="B55" t="s">
        <v>34</v>
      </c>
      <c r="C55">
        <v>1</v>
      </c>
      <c r="D55">
        <v>2</v>
      </c>
      <c r="E55">
        <v>3</v>
      </c>
      <c r="F55">
        <v>4</v>
      </c>
      <c r="G55">
        <v>5</v>
      </c>
      <c r="H55">
        <v>6</v>
      </c>
      <c r="I55">
        <v>7</v>
      </c>
      <c r="J55" s="12">
        <v>8</v>
      </c>
      <c r="K55">
        <v>9</v>
      </c>
      <c r="L55">
        <v>10</v>
      </c>
      <c r="M55">
        <v>10</v>
      </c>
      <c r="N55">
        <v>10</v>
      </c>
      <c r="O55">
        <v>10</v>
      </c>
    </row>
    <row r="56" spans="1:16">
      <c r="A56" t="s">
        <v>35</v>
      </c>
      <c r="B56" s="13">
        <f>D37+D36</f>
        <v>1518</v>
      </c>
      <c r="C56" s="12">
        <f>B56*$C$53</f>
        <v>303.60000000000002</v>
      </c>
      <c r="D56" s="12">
        <f t="shared" ref="D56:O56" si="6">C56*(1+$B$53)</f>
        <v>455.40000000000003</v>
      </c>
      <c r="E56" s="17">
        <f t="shared" si="6"/>
        <v>683.1</v>
      </c>
      <c r="F56" s="12">
        <f t="shared" si="6"/>
        <v>1024.6500000000001</v>
      </c>
      <c r="G56" s="12">
        <f t="shared" si="6"/>
        <v>1536.9750000000001</v>
      </c>
      <c r="H56" s="12">
        <f t="shared" si="6"/>
        <v>2305.4625000000001</v>
      </c>
      <c r="I56" s="12">
        <f t="shared" si="6"/>
        <v>3458.1937500000004</v>
      </c>
      <c r="J56" s="12">
        <f t="shared" si="6"/>
        <v>5187.2906250000005</v>
      </c>
      <c r="K56" s="12">
        <f t="shared" si="6"/>
        <v>7780.9359375000004</v>
      </c>
      <c r="L56" s="12">
        <f t="shared" si="6"/>
        <v>11671.403906250001</v>
      </c>
      <c r="M56" s="12">
        <f t="shared" si="6"/>
        <v>17507.105859375002</v>
      </c>
      <c r="N56" s="12">
        <f t="shared" si="6"/>
        <v>26260.658789062501</v>
      </c>
      <c r="O56" s="28">
        <f t="shared" si="6"/>
        <v>39390.988183593756</v>
      </c>
      <c r="P56" s="13">
        <f>C37+C36</f>
        <v>22797</v>
      </c>
    </row>
    <row r="57" spans="1:16">
      <c r="A57" t="s">
        <v>36</v>
      </c>
      <c r="B57" s="13">
        <f>D35+D34</f>
        <v>530</v>
      </c>
      <c r="C57" s="12">
        <f>B57*$C$53</f>
        <v>106</v>
      </c>
      <c r="D57" s="12">
        <f t="shared" ref="D57:O57" si="7">C57*(1+$B$53)</f>
        <v>159</v>
      </c>
      <c r="E57" s="17">
        <f t="shared" si="7"/>
        <v>238.5</v>
      </c>
      <c r="F57" s="12">
        <f t="shared" si="7"/>
        <v>357.75</v>
      </c>
      <c r="G57" s="12">
        <f t="shared" si="7"/>
        <v>536.625</v>
      </c>
      <c r="H57" s="12">
        <f t="shared" si="7"/>
        <v>804.9375</v>
      </c>
      <c r="I57" s="12">
        <f t="shared" si="7"/>
        <v>1207.40625</v>
      </c>
      <c r="J57" s="12">
        <f t="shared" si="7"/>
        <v>1811.109375</v>
      </c>
      <c r="K57" s="12">
        <f t="shared" si="7"/>
        <v>2716.6640625</v>
      </c>
      <c r="L57" s="12">
        <f t="shared" si="7"/>
        <v>4074.99609375</v>
      </c>
      <c r="M57" s="12">
        <f t="shared" si="7"/>
        <v>6112.494140625</v>
      </c>
      <c r="N57" s="12">
        <f t="shared" si="7"/>
        <v>9168.7412109375</v>
      </c>
      <c r="O57" s="28">
        <f t="shared" si="7"/>
        <v>13753.11181640625</v>
      </c>
      <c r="P57" s="13">
        <f>C35+C34</f>
        <v>11207</v>
      </c>
    </row>
    <row r="58" spans="1:16">
      <c r="A58" t="s">
        <v>37</v>
      </c>
      <c r="B58" s="13">
        <f>D33+D32</f>
        <v>16539</v>
      </c>
      <c r="C58" s="12">
        <f>B58*$C$53</f>
        <v>3307.8</v>
      </c>
      <c r="D58" s="12">
        <f t="shared" ref="D58:O58" si="8">C58*(1+$B$53)</f>
        <v>4961.7000000000007</v>
      </c>
      <c r="E58" s="17">
        <f t="shared" si="8"/>
        <v>7442.5500000000011</v>
      </c>
      <c r="F58" s="12">
        <f t="shared" si="8"/>
        <v>11163.825000000001</v>
      </c>
      <c r="G58" s="12">
        <f t="shared" si="8"/>
        <v>16745.737500000003</v>
      </c>
      <c r="H58" s="12">
        <f t="shared" si="8"/>
        <v>25118.606250000004</v>
      </c>
      <c r="I58" s="12">
        <f t="shared" si="8"/>
        <v>37677.909375000003</v>
      </c>
      <c r="J58" s="12">
        <f t="shared" si="8"/>
        <v>56516.864062500004</v>
      </c>
      <c r="K58" s="12">
        <f t="shared" si="8"/>
        <v>84775.296093750003</v>
      </c>
      <c r="L58" s="12">
        <f t="shared" si="8"/>
        <v>127162.94414062501</v>
      </c>
      <c r="M58" s="12">
        <f t="shared" si="8"/>
        <v>190744.41621093752</v>
      </c>
      <c r="N58" s="12">
        <f t="shared" si="8"/>
        <v>286116.62431640626</v>
      </c>
      <c r="O58" s="28">
        <f t="shared" si="8"/>
        <v>429174.93647460942</v>
      </c>
      <c r="P58" s="13">
        <f>C33+C32</f>
        <v>328695</v>
      </c>
    </row>
    <row r="59" spans="1:16">
      <c r="A59" t="s">
        <v>38</v>
      </c>
      <c r="B59" s="13">
        <f>D38</f>
        <v>121121</v>
      </c>
      <c r="C59" s="12">
        <f>B59*$C$53</f>
        <v>24224.2</v>
      </c>
      <c r="D59" s="12">
        <f t="shared" ref="D59:O59" si="9">C59*(1+$B$53)</f>
        <v>36336.300000000003</v>
      </c>
      <c r="E59" s="17">
        <f t="shared" si="9"/>
        <v>54504.450000000004</v>
      </c>
      <c r="F59" s="12">
        <f t="shared" si="9"/>
        <v>81756.675000000003</v>
      </c>
      <c r="G59" s="12">
        <f t="shared" si="9"/>
        <v>122635.01250000001</v>
      </c>
      <c r="H59" s="12">
        <f t="shared" si="9"/>
        <v>183952.51875000002</v>
      </c>
      <c r="I59" s="12">
        <f t="shared" si="9"/>
        <v>275928.77812500001</v>
      </c>
      <c r="J59" s="12">
        <f t="shared" si="9"/>
        <v>413893.16718750005</v>
      </c>
      <c r="K59" s="12">
        <f t="shared" si="9"/>
        <v>620839.75078125007</v>
      </c>
      <c r="L59" s="12">
        <f t="shared" si="9"/>
        <v>931259.62617187505</v>
      </c>
      <c r="M59" s="12">
        <f t="shared" si="9"/>
        <v>1396889.4392578127</v>
      </c>
      <c r="N59" s="12">
        <f t="shared" si="9"/>
        <v>2095334.158886719</v>
      </c>
      <c r="O59" s="28">
        <f t="shared" si="9"/>
        <v>3143001.2383300783</v>
      </c>
      <c r="P59" s="13">
        <f>C38</f>
        <v>2168099</v>
      </c>
    </row>
  </sheetData>
  <mergeCells count="1">
    <mergeCell ref="A32:A37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Regions</vt:lpstr>
      <vt:lpstr>SUP</vt:lpstr>
      <vt:lpstr>PWR</vt:lpstr>
      <vt:lpstr>RSD</vt:lpstr>
      <vt:lpstr>SRV</vt:lpstr>
      <vt:lpstr>RSD-Retrofits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Bakytzhan Suleimenov</cp:lastModifiedBy>
  <dcterms:created xsi:type="dcterms:W3CDTF">2021-03-04T10:02:17Z</dcterms:created>
  <dcterms:modified xsi:type="dcterms:W3CDTF">2024-03-08T10:17:06Z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605419397354125</vt:r8>
  </property>
</Properties>
</file>