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450C416C-62B9-4D0C-A59E-C479D3386D0A}" xr6:coauthVersionLast="47" xr6:coauthVersionMax="47" xr10:uidLastSave="{00000000-0000-0000-0000-000000000000}"/>
  <bookViews>
    <workbookView xWindow="2685" yWindow="2685" windowWidth="21600" windowHeight="11175" activeTab="3" xr2:uid="{00000000-000D-0000-FFFF-FFFF00000000}"/>
  </bookViews>
  <sheets>
    <sheet name="Cover" sheetId="24" r:id="rId1"/>
    <sheet name="Regions" sheetId="15" r:id="rId2"/>
    <sheet name="Overshoot" sheetId="25" r:id="rId3"/>
    <sheet name="config" sheetId="20" r:id="rId4"/>
    <sheet name="single" sheetId="21" r:id="rId5"/>
    <sheet name="multi" sheetId="22" r:id="rId6"/>
    <sheet name="negative_CO2" sheetId="23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1" l="1"/>
  <c r="N11" i="21"/>
  <c r="N9" i="21"/>
  <c r="K9" i="21" s="1"/>
  <c r="K9" i="22" s="1"/>
  <c r="N7" i="21"/>
  <c r="K11" i="21" l="1"/>
  <c r="K11" i="22" s="1"/>
  <c r="K7" i="22"/>
  <c r="J14" i="22"/>
  <c r="F14" i="22"/>
  <c r="E14" i="22"/>
  <c r="D14" i="22"/>
  <c r="C14" i="22"/>
  <c r="I13" i="22"/>
  <c r="H13" i="22"/>
  <c r="G13" i="22"/>
  <c r="F13" i="22"/>
  <c r="D13" i="22"/>
  <c r="C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I9" i="22"/>
  <c r="H9" i="22"/>
  <c r="G9" i="22"/>
  <c r="F9" i="22"/>
  <c r="D9" i="22"/>
  <c r="C9" i="22"/>
  <c r="J8" i="22"/>
  <c r="F8" i="22"/>
  <c r="E8" i="22"/>
  <c r="D8" i="22"/>
  <c r="C8" i="22"/>
  <c r="I7" i="22"/>
  <c r="H7" i="22"/>
  <c r="G7" i="22"/>
  <c r="F7" i="22"/>
  <c r="D7" i="22"/>
  <c r="C7" i="22"/>
  <c r="J14" i="21"/>
  <c r="F14" i="21"/>
  <c r="E14" i="21"/>
  <c r="D14" i="21"/>
  <c r="C14" i="21"/>
  <c r="K13" i="21"/>
  <c r="K13" i="22" s="1"/>
  <c r="I13" i="21"/>
  <c r="H13" i="21"/>
  <c r="G13" i="21"/>
  <c r="F13" i="21"/>
  <c r="D13" i="21"/>
  <c r="C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I9" i="21"/>
  <c r="H9" i="21"/>
  <c r="G9" i="21"/>
  <c r="F9" i="21"/>
  <c r="D9" i="21"/>
  <c r="C9" i="21"/>
  <c r="J8" i="21"/>
  <c r="F8" i="21"/>
  <c r="E8" i="21"/>
  <c r="D8" i="21"/>
  <c r="C8" i="21"/>
  <c r="I7" i="21"/>
  <c r="H7" i="21"/>
  <c r="G7" i="21"/>
  <c r="F7" i="21"/>
  <c r="D7" i="21"/>
  <c r="C7" i="21"/>
  <c r="F4" i="20"/>
  <c r="B13" i="21" s="1"/>
  <c r="F5" i="20"/>
  <c r="L13" i="21" s="1"/>
  <c r="D4" i="20"/>
  <c r="B9" i="22" s="1"/>
  <c r="E4" i="20"/>
  <c r="B11" i="22" s="1"/>
  <c r="D5" i="20"/>
  <c r="L9" i="22" s="1"/>
  <c r="E5" i="20"/>
  <c r="L11" i="21" s="1"/>
  <c r="C5" i="20"/>
  <c r="L7" i="21" s="1"/>
  <c r="C4" i="20"/>
  <c r="B7" i="21" s="1"/>
  <c r="L13" i="22" l="1"/>
  <c r="B13" i="22"/>
  <c r="B11" i="21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<sst xmlns="http://schemas.openxmlformats.org/spreadsheetml/2006/main" count="163" uniqueCount="115">
  <si>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</si>
  <si>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</si>
  <si>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</si>
  <si>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</si>
  <si>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</si>
  <si>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</si>
  <si>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</si>
  <si>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</si>
  <si>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</si>
  <si>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</si>
  <si>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</si>
  <si>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</si>
  <si>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</si>
  <si>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</si>
  <si>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</si>
  <si>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</si>
  <si>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</si>
  <si>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</si>
  <si>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</si>
  <si>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</si>
  <si>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</si>
  <si>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</si>
  <si>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</si>
  <si>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</si>
  <si>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</si>
  <si>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</si>
  <si>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</si>
  <si>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</si>
  <si>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</si>
  <si>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</si>
  <si>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</si>
  <si>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</si>
  <si>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</si>
  <si>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</si>
  <si>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</si>
  <si>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</si>
  <si>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</si>
  <si>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</si>
  <si>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</si>
  <si>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</si>
  <si>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</si>
  <si>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</si>
  <si>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</si>
  <si>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</si>
  <si>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</si>
  <si>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</si>
  <si>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</si>
  <si>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</si>
  <si>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</si>
  <si>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</si>
  <si>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</si>
  <si>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</si>
  <si>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</si>
  <si>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</si>
  <si>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</si>
  <si>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</si>
  <si>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</si>
  <si>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</si>
  <si>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</si>
  <si>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</si>
  <si>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</si>
  <si>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</si>
  <si>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</si>
  <si>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</si>
  <si>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</si>
  <si>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</si>
  <si>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</si>
  <si>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</si>
  <si>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</si>
  <si>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</si>
  <si>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</si>
  <si>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</si>
  <si>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</si>
  <si>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</si>
  <si>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</si>
  <si>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</si>
  <si>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</si>
  <si>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</si>
  <si>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</si>
  <si>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</si>
  <si>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</si>
  <si>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</si>
  <si>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</si>
  <si>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</si>
  <si>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</si>
  <si>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</si>
  <si>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</si>
  <si>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</si>
  <si>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</si>
  <si>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</si>
  <si>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</si>
  <si>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</si>
  <si>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</si>
  <si>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</si>
  <si>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</si>
  <si>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</si>
  <si>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</si>
  <si>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</si>
  <si>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</si>
  <si>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</si>
  <si>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</si>
  <si>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</si>
  <si>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</si>
  <si>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</si>
  <si>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</si>
  <si>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</si>
  <si>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</si>
  <si>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</si>
  <si>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</si>
  <si>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</si>
  <si>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Overshoot</t>
  </si>
  <si>
    <t>Case #</t>
  </si>
  <si>
    <t>~InputCell:1-13</t>
  </si>
  <si>
    <t>\I: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</si>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</sst>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0.000"/>
    <numFmt numFmtId="167" formatCode="0.0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166" fontId="0" fillId="0" borderId="0" xfId="0" applyNumberFormat="1"/>
    <xf numFmtId="165" fontId="0" fillId="0" borderId="0" xfId="3" applyNumberFormat="1" applyFont="1"/>
    <xf numFmtId="0" fontId="16" fillId="0" borderId="0" xfId="0" applyFont="1"/>
    <xf numFmtId="167" fontId="0" fillId="0" borderId="0" xfId="0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5CD6EEE1-73B2-4911-9FC2-AF042D96273E}"/>
    <cellStyle name="Percent" xfId="3" builtinId="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9" t="s">
        <v>90</v>
      </c>
      <c r="B16" s="39"/>
      <c r="C16" s="39"/>
      <c r="D16" s="39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91</v>
      </c>
      <c r="B19" s="38" t="s">
        <v>104</v>
      </c>
      <c r="C19" s="38"/>
      <c r="D19" s="38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92</v>
      </c>
      <c r="B20" s="38" t="s">
        <v>102</v>
      </c>
      <c r="C20" s="38"/>
      <c r="D20" s="38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94</v>
      </c>
      <c r="B23" s="38" t="s">
        <v>103</v>
      </c>
      <c r="C23" s="38"/>
      <c r="D23" s="3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95</v>
      </c>
      <c r="B26" s="38" t="s">
        <v>103</v>
      </c>
      <c r="C26" s="38"/>
      <c r="D26" s="3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97</v>
      </c>
      <c r="B30" s="40" t="s">
        <v>98</v>
      </c>
      <c r="C30" s="38"/>
      <c r="D30" s="38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99</v>
      </c>
      <c r="B31" s="38" t="s">
        <v>100</v>
      </c>
      <c r="C31" s="38"/>
      <c r="D31" s="38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51D-CBC7-469C-AD9B-B324E874F696}">
  <dimension ref="B2:G20"/>
  <sheetViews>
    <sheetView workbookViewId="0">
      <selection activeCell="B4" sqref="B4"/>
    </sheetView>
  </sheetViews>
  <sheetFormatPr defaultRowHeight="15" x14ac:dyDescent="0.25"/>
  <sheetData>
    <row r="2" spans="2:7" x14ac:dyDescent="0.25">
      <c r="B2" t="s">
        <v>112</v>
      </c>
    </row>
    <row r="3" spans="2:7" x14ac:dyDescent="0.25">
      <c r="B3">
        <v>1</v>
      </c>
      <c r="F3" t="s">
        <v>111</v>
      </c>
      <c r="G3" t="s">
        <v>110</v>
      </c>
    </row>
    <row r="4" spans="2:7" x14ac:dyDescent="0.25">
      <c r="F4">
        <v>1</v>
      </c>
      <c r="G4" s="35">
        <v>0</v>
      </c>
    </row>
    <row r="5" spans="2:7" x14ac:dyDescent="0.25">
      <c r="F5">
        <v>2</v>
      </c>
      <c r="G5" s="35">
        <v>2.5000000000000001E-2</v>
      </c>
    </row>
    <row r="6" spans="2:7" x14ac:dyDescent="0.25">
      <c r="F6">
        <v>3</v>
      </c>
      <c r="G6" s="35">
        <v>0.05</v>
      </c>
    </row>
    <row r="7" spans="2:7" x14ac:dyDescent="0.25">
      <c r="F7">
        <v>4</v>
      </c>
      <c r="G7" s="35">
        <v>7.4999999999999997E-2</v>
      </c>
    </row>
    <row r="8" spans="2:7" x14ac:dyDescent="0.25">
      <c r="F8">
        <v>5</v>
      </c>
      <c r="G8" s="35">
        <v>0.1</v>
      </c>
    </row>
    <row r="9" spans="2:7" x14ac:dyDescent="0.25">
      <c r="F9">
        <v>6</v>
      </c>
      <c r="G9" s="35">
        <v>0.125</v>
      </c>
    </row>
    <row r="10" spans="2:7" x14ac:dyDescent="0.25">
      <c r="F10">
        <v>7</v>
      </c>
      <c r="G10" s="35">
        <v>0.15</v>
      </c>
    </row>
    <row r="11" spans="2:7" x14ac:dyDescent="0.25">
      <c r="F11">
        <v>8</v>
      </c>
      <c r="G11" s="35">
        <v>0.17499999999999999</v>
      </c>
    </row>
    <row r="12" spans="2:7" x14ac:dyDescent="0.25">
      <c r="F12">
        <v>9</v>
      </c>
      <c r="G12" s="35">
        <v>0.2</v>
      </c>
    </row>
    <row r="13" spans="2:7" x14ac:dyDescent="0.25">
      <c r="F13">
        <v>10</v>
      </c>
      <c r="G13" s="35">
        <v>0.22500000000000001</v>
      </c>
    </row>
    <row r="14" spans="2:7" x14ac:dyDescent="0.25">
      <c r="F14">
        <v>11</v>
      </c>
      <c r="G14" s="35">
        <v>0.25</v>
      </c>
    </row>
    <row r="15" spans="2:7" x14ac:dyDescent="0.25">
      <c r="F15">
        <v>12</v>
      </c>
      <c r="G15" s="35">
        <v>0.27500000000000002</v>
      </c>
    </row>
    <row r="16" spans="2:7" x14ac:dyDescent="0.25">
      <c r="F16">
        <v>13</v>
      </c>
      <c r="G16" s="35">
        <v>0.3</v>
      </c>
    </row>
    <row r="17" spans="7:7" x14ac:dyDescent="0.25">
      <c r="G17" s="35"/>
    </row>
    <row r="18" spans="7:7" x14ac:dyDescent="0.25">
      <c r="G18" s="35"/>
    </row>
    <row r="19" spans="7:7" x14ac:dyDescent="0.25">
      <c r="G19" s="35"/>
    </row>
    <row r="20" spans="7:7" x14ac:dyDescent="0.25">
      <c r="G20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4"/>
  <sheetViews>
    <sheetView tabSelected="1" workbookViewId="0">
      <selection activeCell="D9" sqref="D9:F9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UC_CB_129_Mt_2021-2025</v>
      </c>
      <c r="D4" t="str">
        <f t="shared" ref="D4:E4" si="0" xml:space="preserve"> _xlfn.TEXTJOIN("_",TRUE,"UC","CB",ROUND(D7,0),"Mt",D6)</f>
        <v>UC_CB_91_Mt_2026-2030</v>
      </c>
      <c r="E4" t="str">
        <f t="shared" si="0"/>
        <v>UC_CB_95_Mt_2031-2050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129 Mt 2021-2025</v>
      </c>
      <c r="D5" t="str">
        <f t="shared" ref="D5:F5" si="2" xml:space="preserve"> _xlfn.TEXTJOIN(" ",TRUE,"Carbon budget",ROUND(D7,0),"Mt",D6)</f>
        <v>Carbon budget 91 Mt 2026-2030</v>
      </c>
      <c r="E5" t="str">
        <f t="shared" si="2"/>
        <v>Carbon budget 95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25">
      <c r="B7" t="s">
        <v>69</v>
      </c>
      <c r="C7" s="17">
        <v>128.7890625</v>
      </c>
      <c r="D7" s="17">
        <v>91.46484375</v>
      </c>
      <c r="E7" s="17">
        <v>94.74609375</v>
      </c>
      <c r="F7" s="36">
        <v>0</v>
      </c>
    </row>
    <row r="8" spans="2:6" x14ac:dyDescent="0.2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25">
      <c r="B9" t="s">
        <v>62</v>
      </c>
      <c r="C9" t="s">
        <v>114</v>
      </c>
      <c r="D9" t="s">
        <v>114</v>
      </c>
      <c r="E9" t="s">
        <v>114</v>
      </c>
      <c r="F9" t="s">
        <v>114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P19"/>
  <sheetViews>
    <sheetView workbookViewId="0">
      <selection activeCell="B14" sqref="B14"/>
    </sheetView>
  </sheetViews>
  <sheetFormatPr defaultColWidth="9.140625" defaultRowHeight="15" x14ac:dyDescent="0.2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5.42578125" customWidth="1"/>
    <col min="16" max="16" width="10" customWidth="1"/>
  </cols>
  <sheetData>
    <row r="1" spans="1:16" x14ac:dyDescent="0.25">
      <c r="A1" t="s">
        <v>64</v>
      </c>
    </row>
    <row r="2" spans="1:16" x14ac:dyDescent="0.25">
      <c r="B2" s="9" t="str">
        <f>"~UC_Sets: R_E: "  &amp; _xlfn.TEXTJOIN(",",TRUE,Regions!C3)</f>
        <v>~UC_Sets: R_E: IE</v>
      </c>
    </row>
    <row r="3" spans="1:16" x14ac:dyDescent="0.25">
      <c r="B3" s="9" t="s">
        <v>75</v>
      </c>
    </row>
    <row r="4" spans="1:16" x14ac:dyDescent="0.25">
      <c r="H4" t="str">
        <f>IF(RIGHT(B2,1)&lt;&gt;" ","~UC_T","")</f>
        <v>~UC_T</v>
      </c>
    </row>
    <row r="5" spans="1:16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6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  <c r="N6" s="33" t="s">
        <v>109</v>
      </c>
    </row>
    <row r="7" spans="1:16" x14ac:dyDescent="0.25">
      <c r="B7" t="str">
        <f>VLOOKUP($B$5, config!$B$4:$F$14,2,FALSE) &amp; "_Single"</f>
        <v>UC_CB_129_Mt_2021-2025_Single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N7*(1+VLOOKUP(Overshoot!$B$3,Overshoot!$F$3:$G$25,2,FALSE))</f>
        <v>128789.0625</v>
      </c>
      <c r="L7" t="str">
        <f>VLOOKUP($L$5, config!$B$4:$F$14,2,FALSE) &amp; " - Single"</f>
        <v>Carbon budget 129 Mt 2021-2025 - Single</v>
      </c>
      <c r="N7" s="17">
        <f>config!C7*1000</f>
        <v>128789.0625</v>
      </c>
      <c r="P7" s="37"/>
    </row>
    <row r="8" spans="1:16" x14ac:dyDescent="0.25">
      <c r="B8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  <c r="N8" s="17"/>
      <c r="P8" s="37"/>
    </row>
    <row r="9" spans="1:16" x14ac:dyDescent="0.25">
      <c r="B9" t="str">
        <f>VLOOKUP($B$5, config!$B$4:$F$14,3,FALSE) &amp; "_Single"</f>
        <v>UC_CB_91_Mt_2026-2030_Single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N9*(1+VLOOKUP(Overshoot!$B$3,Overshoot!$F$3:$G$25,2,FALSE))</f>
        <v>91464.84375</v>
      </c>
      <c r="L9" t="str">
        <f>VLOOKUP($L$5, config!$B$4:$F$14,3,FALSE) &amp; " - Single"</f>
        <v>Carbon budget 91 Mt 2026-2030 - Single</v>
      </c>
      <c r="N9" s="17">
        <f>config!D7*1000</f>
        <v>91464.84375</v>
      </c>
      <c r="P9" s="37"/>
    </row>
    <row r="10" spans="1:16" x14ac:dyDescent="0.25">
      <c r="B10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  <c r="N10" s="17"/>
      <c r="P10" s="37"/>
    </row>
    <row r="11" spans="1:16" x14ac:dyDescent="0.25">
      <c r="B11" t="str">
        <f>VLOOKUP($B$5, config!$B$4:$F$14,4,FALSE) &amp; "_Single"</f>
        <v>UC_CB_95_Mt_2031-2050_Single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SUM(N7:N13)-K7-K9</f>
        <v>94746.09375</v>
      </c>
      <c r="L11" t="str">
        <f>VLOOKUP($L$5, config!$B$4:$F$14,4,FALSE) &amp; " - Single"</f>
        <v>Carbon budget 95 Mt 2031-2050 - Single</v>
      </c>
      <c r="N11" s="17">
        <f>config!E7*1000</f>
        <v>94746.09375</v>
      </c>
      <c r="P11" s="37"/>
    </row>
    <row r="12" spans="1:16" x14ac:dyDescent="0.25">
      <c r="B1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  <c r="N12" s="17"/>
      <c r="P12" s="37"/>
    </row>
    <row r="13" spans="1:16" x14ac:dyDescent="0.25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VLOOKUP($L$5, config!$B$4:$F$14,5,FALSE) &amp; " - Single"</f>
        <v>Carbon budget 0 Mt 2051-2100 - Single</v>
      </c>
      <c r="N13" s="17">
        <v>0</v>
      </c>
      <c r="P13" s="37"/>
    </row>
    <row r="14" spans="1:16" x14ac:dyDescent="0.25">
      <c r="B14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  <row r="17" spans="11:11" x14ac:dyDescent="0.25">
      <c r="K17" s="34"/>
    </row>
    <row r="18" spans="11:11" x14ac:dyDescent="0.25">
      <c r="K18" s="34"/>
    </row>
    <row r="19" spans="11:11" x14ac:dyDescent="0.25">
      <c r="K19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B14" sqref="B14"/>
    </sheetView>
  </sheetViews>
  <sheetFormatPr defaultColWidth="9.140625" defaultRowHeight="15" x14ac:dyDescent="0.2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UC_CB_129_Mt_2021-2025_Multi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single!K7</f>
        <v>128789.0625</v>
      </c>
      <c r="L7" t="str">
        <f>VLOOKUP(L$5, config!$B$4:$F$14,2,FALSE) &amp; " - Multi"</f>
        <v>Carbon budget 129 Mt 2021-2025 - Multi</v>
      </c>
    </row>
    <row r="8" spans="1:12" x14ac:dyDescent="0.25">
      <c r="B8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25">
      <c r="B9" t="str">
        <f>VLOOKUP(B$5, config!$B$4:$F$14,3,FALSE) &amp; "_Multi"</f>
        <v>UC_CB_91_Mt_2026-2030_Multi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single!K9</f>
        <v>91464.84375</v>
      </c>
      <c r="L9" t="str">
        <f>VLOOKUP(L$5, config!$B$4:$F$14,3,FALSE) &amp; " - Multi"</f>
        <v>Carbon budget 91 Mt 2026-2030 - Multi</v>
      </c>
    </row>
    <row r="10" spans="1:12" x14ac:dyDescent="0.25">
      <c r="B10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25">
      <c r="B11" t="str">
        <f>VLOOKUP(B$5, config!$B$4:$F$14,4,FALSE) &amp; "_Multi"</f>
        <v>UC_CB_95_Mt_2031-2050_Multi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single!K11</f>
        <v>94746.09375</v>
      </c>
      <c r="L11" t="str">
        <f>VLOOKUP(L$5, config!$B$4:$F$14,4,FALSE) &amp; " - Multi"</f>
        <v>Carbon budget 95 Mt 2031-2050 - Multi</v>
      </c>
    </row>
    <row r="12" spans="1:12" x14ac:dyDescent="0.25">
      <c r="B1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single!K13</f>
        <v>0</v>
      </c>
      <c r="L13" t="str">
        <f>VLOOKUP(L$5, config!$B$4:$F$14,5,FALSE) &amp; " - Multi"</f>
        <v>Carbon budget 0 Mt 2051-2100 - Multi</v>
      </c>
    </row>
    <row r="14" spans="1:12" x14ac:dyDescent="0.25">
      <c r="B14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84</v>
      </c>
    </row>
    <row r="3" spans="2:8" ht="15.75" thickBot="1" x14ac:dyDescent="0.3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Overshoot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2024-04-13T23:03:41Z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